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0001095528\Desktop\20260324国民健康保険（保険年金課3625岩佐）\20260324国民健康保険料（保険年金課3625岩佐）\"/>
    </mc:Choice>
  </mc:AlternateContent>
  <xr:revisionPtr revIDLastSave="0" documentId="13_ncr:1_{22BE1BA5-5224-462E-9570-559C08789C7C}" xr6:coauthVersionLast="47" xr6:coauthVersionMax="47" xr10:uidLastSave="{00000000-0000-0000-0000-000000000000}"/>
  <bookViews>
    <workbookView xWindow="-3405" yWindow="-16320" windowWidth="29040" windowHeight="15720" xr2:uid="{00000000-000D-0000-FFFF-FFFF00000000}"/>
  </bookViews>
  <sheets>
    <sheet name="試算シート" sheetId="2" r:id="rId1"/>
    <sheet name="計算" sheetId="3" state="hidden" r:id="rId2"/>
    <sheet name="設定" sheetId="5"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J26" i="3"/>
  <c r="I29" i="3"/>
  <c r="I26" i="3"/>
  <c r="G30" i="3"/>
  <c r="G26" i="3"/>
  <c r="E26" i="3"/>
  <c r="B33" i="3"/>
  <c r="B32" i="3"/>
  <c r="B31" i="3"/>
  <c r="B30" i="3"/>
  <c r="B29" i="3"/>
  <c r="B28" i="3"/>
  <c r="B27" i="3"/>
  <c r="B26" i="3"/>
  <c r="B25" i="3"/>
  <c r="W14" i="3"/>
  <c r="V13" i="3"/>
  <c r="T17" i="3"/>
  <c r="T21" i="3"/>
  <c r="T20" i="3"/>
  <c r="T19" i="3"/>
  <c r="T18" i="3"/>
  <c r="T16" i="3"/>
  <c r="T15" i="3"/>
  <c r="T14" i="3"/>
  <c r="T13" i="3"/>
  <c r="T12" i="3"/>
  <c r="S16" i="3"/>
  <c r="S21" i="3"/>
  <c r="S20" i="3"/>
  <c r="S19" i="3"/>
  <c r="S18" i="3"/>
  <c r="S17" i="3"/>
  <c r="S15" i="3"/>
  <c r="S14" i="3"/>
  <c r="S13" i="3"/>
  <c r="S12" i="3"/>
  <c r="R21" i="3"/>
  <c r="R20" i="3"/>
  <c r="R19" i="3"/>
  <c r="R18" i="3"/>
  <c r="R17" i="3"/>
  <c r="R16" i="3"/>
  <c r="R15" i="3"/>
  <c r="R14" i="3"/>
  <c r="R13" i="3"/>
  <c r="R12" i="3"/>
  <c r="Q21" i="3"/>
  <c r="Q20" i="3"/>
  <c r="Q19" i="3"/>
  <c r="Q18" i="3"/>
  <c r="Q17" i="3"/>
  <c r="Q16" i="3"/>
  <c r="Q15" i="3"/>
  <c r="Q14" i="3"/>
  <c r="Q13" i="3"/>
  <c r="Q12" i="3"/>
  <c r="C38" i="2"/>
  <c r="C39" i="2"/>
  <c r="C40" i="2"/>
  <c r="C41" i="2"/>
  <c r="C42" i="2"/>
  <c r="C43" i="2"/>
  <c r="C44" i="2"/>
  <c r="C45" i="2"/>
  <c r="C46" i="2"/>
  <c r="C37" i="2"/>
  <c r="K15" i="3"/>
  <c r="D40" i="2" s="1"/>
  <c r="G29" i="2"/>
  <c r="E29" i="2"/>
  <c r="F29" i="2"/>
  <c r="G30" i="2"/>
  <c r="E30" i="2"/>
  <c r="F30" i="2"/>
  <c r="G31" i="2"/>
  <c r="E31" i="2"/>
  <c r="F31" i="2"/>
  <c r="G32" i="2"/>
  <c r="E32" i="2"/>
  <c r="F32" i="2"/>
  <c r="E3" i="3"/>
  <c r="E4" i="3"/>
  <c r="A4" i="2"/>
  <c r="H29" i="3"/>
  <c r="H28" i="3"/>
  <c r="H27" i="3"/>
  <c r="H26" i="3"/>
  <c r="U12" i="3" l="1"/>
  <c r="B5" i="3"/>
  <c r="B4" i="3"/>
  <c r="B3" i="3"/>
  <c r="A1" i="2" l="1"/>
  <c r="B12" i="2"/>
  <c r="B12" i="3" s="1"/>
  <c r="K12" i="3" s="1"/>
  <c r="D37" i="2" s="1"/>
  <c r="G21" i="3"/>
  <c r="F21" i="3"/>
  <c r="E21" i="3"/>
  <c r="D21" i="3"/>
  <c r="C21" i="3"/>
  <c r="B21" i="3"/>
  <c r="B46" i="2" s="1"/>
  <c r="A21" i="3"/>
  <c r="A46" i="2" s="1"/>
  <c r="G20" i="3"/>
  <c r="F20" i="3"/>
  <c r="E20" i="3"/>
  <c r="D20" i="3"/>
  <c r="C20" i="3"/>
  <c r="B20" i="3"/>
  <c r="B45" i="2" s="1"/>
  <c r="A20" i="3"/>
  <c r="A45" i="2" s="1"/>
  <c r="G19" i="3"/>
  <c r="F19" i="3"/>
  <c r="E19" i="3"/>
  <c r="D19" i="3"/>
  <c r="C19" i="3"/>
  <c r="B19" i="3"/>
  <c r="B44" i="2" s="1"/>
  <c r="A19" i="3"/>
  <c r="A44" i="2" s="1"/>
  <c r="G18" i="3"/>
  <c r="F18" i="3"/>
  <c r="E18" i="3"/>
  <c r="D18" i="3"/>
  <c r="C18" i="3"/>
  <c r="B18" i="3"/>
  <c r="B43" i="2" s="1"/>
  <c r="A18" i="3"/>
  <c r="A43" i="2" s="1"/>
  <c r="G17" i="3"/>
  <c r="F17" i="3"/>
  <c r="E17" i="3"/>
  <c r="D17" i="3"/>
  <c r="C17" i="3"/>
  <c r="B17" i="3"/>
  <c r="B42" i="2" s="1"/>
  <c r="A17" i="3"/>
  <c r="A42" i="2" s="1"/>
  <c r="G16" i="3"/>
  <c r="F16" i="3"/>
  <c r="E16" i="3"/>
  <c r="D16" i="3"/>
  <c r="C16" i="3"/>
  <c r="B16" i="3"/>
  <c r="B41" i="2" s="1"/>
  <c r="A16" i="3"/>
  <c r="A41" i="2" s="1"/>
  <c r="G15" i="3"/>
  <c r="F15" i="3"/>
  <c r="E15" i="3"/>
  <c r="D15" i="3"/>
  <c r="C15" i="3"/>
  <c r="B15" i="3"/>
  <c r="B40" i="2" s="1"/>
  <c r="A15" i="3"/>
  <c r="A40" i="2" s="1"/>
  <c r="G14" i="3"/>
  <c r="F14" i="3"/>
  <c r="E14" i="3"/>
  <c r="D14" i="3"/>
  <c r="C14" i="3"/>
  <c r="B14" i="3"/>
  <c r="B39" i="2" s="1"/>
  <c r="A14" i="3"/>
  <c r="A39" i="2" s="1"/>
  <c r="G13" i="3"/>
  <c r="F13" i="3"/>
  <c r="E13" i="3"/>
  <c r="D13" i="3"/>
  <c r="C13" i="3"/>
  <c r="B13" i="3"/>
  <c r="B38" i="2" s="1"/>
  <c r="A13" i="3"/>
  <c r="A38" i="2" s="1"/>
  <c r="G12" i="3"/>
  <c r="F12" i="3"/>
  <c r="E12" i="3"/>
  <c r="D12" i="3"/>
  <c r="C12" i="3"/>
  <c r="A12" i="3"/>
  <c r="A37" i="2" s="1"/>
  <c r="B6" i="3"/>
  <c r="B37" i="2" l="1"/>
  <c r="V17" i="3"/>
  <c r="W12" i="3"/>
  <c r="W13" i="3"/>
  <c r="N20" i="3"/>
  <c r="V12" i="3"/>
  <c r="H12" i="3"/>
  <c r="I12" i="3" s="1"/>
  <c r="B7" i="3"/>
  <c r="B8" i="3" s="1"/>
  <c r="E5" i="3" s="1"/>
  <c r="E8" i="3" s="1"/>
  <c r="H13" i="3"/>
  <c r="H14" i="3"/>
  <c r="I14" i="3" s="1"/>
  <c r="H16" i="3"/>
  <c r="I16" i="3" s="1"/>
  <c r="H18" i="3"/>
  <c r="I18" i="3" s="1"/>
  <c r="H20" i="3"/>
  <c r="I20" i="3" s="1"/>
  <c r="H21" i="3"/>
  <c r="I21" i="3" s="1"/>
  <c r="N21" i="3"/>
  <c r="H15" i="3"/>
  <c r="I15" i="3" s="1"/>
  <c r="H17" i="3"/>
  <c r="I17" i="3" s="1"/>
  <c r="H19" i="3"/>
  <c r="I19" i="3" s="1"/>
  <c r="W20" i="3"/>
  <c r="N17" i="3"/>
  <c r="N15" i="3"/>
  <c r="W21" i="3"/>
  <c r="N14" i="3"/>
  <c r="W15" i="3"/>
  <c r="W17" i="3"/>
  <c r="W16" i="3"/>
  <c r="N19" i="3"/>
  <c r="N18" i="3"/>
  <c r="W19" i="3"/>
  <c r="W18" i="3"/>
  <c r="K21" i="3"/>
  <c r="D46" i="2" s="1"/>
  <c r="V14" i="3"/>
  <c r="V15" i="3"/>
  <c r="V16" i="3"/>
  <c r="V18" i="3"/>
  <c r="V19" i="3"/>
  <c r="V20" i="3"/>
  <c r="V21" i="3"/>
  <c r="J18" i="3" l="1"/>
  <c r="J20" i="3"/>
  <c r="J17" i="3"/>
  <c r="J12" i="3"/>
  <c r="J19" i="3"/>
  <c r="I13" i="3"/>
  <c r="J16" i="3"/>
  <c r="J14" i="3"/>
  <c r="K17" i="3"/>
  <c r="J15" i="3"/>
  <c r="J21" i="3"/>
  <c r="N16" i="3"/>
  <c r="O21" i="3"/>
  <c r="M21" i="3"/>
  <c r="L21" i="3"/>
  <c r="U21" i="3"/>
  <c r="F46" i="2" s="1"/>
  <c r="O17" i="3" l="1"/>
  <c r="D42" i="2"/>
  <c r="L12" i="3"/>
  <c r="J13" i="3"/>
  <c r="K20" i="3"/>
  <c r="K19" i="3"/>
  <c r="D44" i="2" s="1"/>
  <c r="K14" i="3"/>
  <c r="K16" i="3"/>
  <c r="K13" i="3"/>
  <c r="M17" i="3"/>
  <c r="K18" i="3"/>
  <c r="D43" i="2" s="1"/>
  <c r="L17" i="3"/>
  <c r="P21" i="3"/>
  <c r="E46" i="2" s="1"/>
  <c r="G46" i="2" s="1"/>
  <c r="M16" i="3" l="1"/>
  <c r="D41" i="2"/>
  <c r="O14" i="3"/>
  <c r="D39" i="2"/>
  <c r="L20" i="3"/>
  <c r="D45" i="2"/>
  <c r="N13" i="3"/>
  <c r="D38" i="2"/>
  <c r="O12" i="3"/>
  <c r="N12" i="3"/>
  <c r="B31" i="2" s="1"/>
  <c r="M12" i="3"/>
  <c r="O20" i="3"/>
  <c r="M20" i="3"/>
  <c r="O13" i="3"/>
  <c r="M14" i="3"/>
  <c r="O16" i="3"/>
  <c r="L14" i="3"/>
  <c r="L13" i="3"/>
  <c r="O19" i="3"/>
  <c r="M19" i="3"/>
  <c r="L19" i="3"/>
  <c r="P17" i="3"/>
  <c r="E42" i="2" s="1"/>
  <c r="L16" i="3"/>
  <c r="M13" i="3"/>
  <c r="M18" i="3"/>
  <c r="O18" i="3"/>
  <c r="L18" i="3"/>
  <c r="L15" i="3"/>
  <c r="M15" i="3"/>
  <c r="O15" i="3"/>
  <c r="G25" i="2" l="1"/>
  <c r="E28" i="3"/>
  <c r="P12" i="3"/>
  <c r="E37" i="2" s="1"/>
  <c r="P20" i="3"/>
  <c r="E45" i="2" s="1"/>
  <c r="B30" i="2"/>
  <c r="B32" i="2"/>
  <c r="B29" i="2"/>
  <c r="E29" i="3"/>
  <c r="E27" i="3"/>
  <c r="P14" i="3"/>
  <c r="E39" i="2" s="1"/>
  <c r="P19" i="3"/>
  <c r="E44" i="2" s="1"/>
  <c r="P16" i="3"/>
  <c r="E41" i="2" s="1"/>
  <c r="P13" i="3"/>
  <c r="E38" i="2" s="1"/>
  <c r="P18" i="3"/>
  <c r="E43" i="2" s="1"/>
  <c r="P15" i="3"/>
  <c r="E40" i="2" s="1"/>
  <c r="B33" i="2" l="1"/>
  <c r="E30" i="3"/>
  <c r="C31" i="2" l="1"/>
  <c r="C29" i="2"/>
  <c r="C32" i="2"/>
  <c r="C30" i="2"/>
  <c r="F26" i="3"/>
  <c r="F37" i="2"/>
  <c r="G37" i="2" s="1"/>
  <c r="F29" i="3"/>
  <c r="G29" i="3" s="1"/>
  <c r="D32" i="2" s="1"/>
  <c r="F28" i="3"/>
  <c r="G28" i="3" s="1"/>
  <c r="D31" i="2" s="1"/>
  <c r="F27" i="3"/>
  <c r="G27" i="3" s="1"/>
  <c r="D30" i="2" s="1"/>
  <c r="U18" i="3"/>
  <c r="F43" i="2" s="1"/>
  <c r="G43" i="2" s="1"/>
  <c r="U19" i="3"/>
  <c r="F44" i="2" s="1"/>
  <c r="G44" i="2" s="1"/>
  <c r="U15" i="3"/>
  <c r="F40" i="2" s="1"/>
  <c r="G40" i="2" s="1"/>
  <c r="U16" i="3"/>
  <c r="F41" i="2" s="1"/>
  <c r="G41" i="2" s="1"/>
  <c r="U14" i="3"/>
  <c r="F39" i="2" s="1"/>
  <c r="G39" i="2" s="1"/>
  <c r="U20" i="3"/>
  <c r="F45" i="2" s="1"/>
  <c r="G45" i="2" s="1"/>
  <c r="U17" i="3"/>
  <c r="F42" i="2" s="1"/>
  <c r="G42" i="2" s="1"/>
  <c r="U13" i="3"/>
  <c r="F38" i="2" s="1"/>
  <c r="G38" i="2" s="1"/>
  <c r="C33" i="2" l="1"/>
  <c r="J29" i="3"/>
  <c r="I27" i="3"/>
  <c r="J27" i="3" s="1"/>
  <c r="F30" i="3"/>
  <c r="D29" i="2"/>
  <c r="D33" i="2" s="1"/>
  <c r="B25" i="2" s="1"/>
  <c r="D25" i="2" s="1"/>
  <c r="I28" i="3"/>
  <c r="J28" i="3" s="1"/>
  <c r="I30" i="3" l="1"/>
  <c r="J30" i="3" l="1"/>
</calcChain>
</file>

<file path=xl/sharedStrings.xml><?xml version="1.0" encoding="utf-8"?>
<sst xmlns="http://schemas.openxmlformats.org/spreadsheetml/2006/main" count="214" uniqueCount="182">
  <si>
    <t>【1】このシートでできること</t>
  </si>
  <si>
    <t>国保加入</t>
  </si>
  <si>
    <t>年齢</t>
  </si>
  <si>
    <t>給与所得</t>
  </si>
  <si>
    <t>その他所得</t>
  </si>
  <si>
    <t>会社都合失業</t>
  </si>
  <si>
    <t>賦課年度開始日</t>
  </si>
  <si>
    <t>賦課年度終了日(翌3/31)</t>
  </si>
  <si>
    <t>賦課年度終了日の翌日(翌4/1)</t>
  </si>
  <si>
    <t>加入日</t>
  </si>
  <si>
    <t>加入月(1日換算)</t>
  </si>
  <si>
    <t>賦課対象月数(加入日で按分)</t>
  </si>
  <si>
    <t>年金所得</t>
  </si>
  <si>
    <t>給与所得(算定用)</t>
  </si>
  <si>
    <t>合計所得(算定用)</t>
  </si>
  <si>
    <t>基礎控除</t>
  </si>
  <si>
    <t>所得割算定基礎</t>
  </si>
  <si>
    <t>所得割_医療</t>
  </si>
  <si>
    <t>所得割_支援金</t>
  </si>
  <si>
    <t>所得割_介護</t>
  </si>
  <si>
    <t>所得割_子ども</t>
  </si>
  <si>
    <t>所得割_計</t>
  </si>
  <si>
    <t>均等割_医療</t>
  </si>
  <si>
    <t>均等割_支援金</t>
  </si>
  <si>
    <t>均等割_介護</t>
  </si>
  <si>
    <t>均等割_子ども</t>
  </si>
  <si>
    <t>均等割_計</t>
  </si>
  <si>
    <t>（判定用）世帯所得算入</t>
  </si>
  <si>
    <t>（判定用）給与所得者等</t>
  </si>
  <si>
    <t>【均等割軽減 判定】</t>
  </si>
  <si>
    <t>7割軽減 判定基準</t>
  </si>
  <si>
    <t>5割軽減 判定基準</t>
  </si>
  <si>
    <t>2割軽減 判定基準</t>
  </si>
  <si>
    <t>均等割軽減率（0/0.2/0.5/0.7）</t>
  </si>
  <si>
    <t>均等割係数（1-軽減率）</t>
  </si>
  <si>
    <t>賦課年度</t>
  </si>
  <si>
    <t>賦課対象月数</t>
  </si>
  <si>
    <t>按分係数（月数/12）</t>
  </si>
  <si>
    <t>区分</t>
  </si>
  <si>
    <t>所得割合計</t>
  </si>
  <si>
    <t>均等割合計(軽減後)</t>
  </si>
  <si>
    <t>上限適用前合計</t>
  </si>
  <si>
    <t>最高限度額</t>
  </si>
  <si>
    <t>上限適用後(年額)</t>
  </si>
  <si>
    <t>上限超過調整額</t>
  </si>
  <si>
    <t>医療分</t>
  </si>
  <si>
    <t>後期高齢者支援金分</t>
  </si>
  <si>
    <t>介護分</t>
  </si>
  <si>
    <t>子ども・子育て支援金分</t>
  </si>
  <si>
    <t>合計</t>
  </si>
  <si>
    <t>合計(上限前)</t>
  </si>
  <si>
    <t>項目</t>
  </si>
  <si>
    <t>値</t>
  </si>
  <si>
    <t>所得割料率_医療</t>
  </si>
  <si>
    <t>所得割料率_支援金</t>
  </si>
  <si>
    <t>所得割料率_介護</t>
  </si>
  <si>
    <t>所得割料率_子ども</t>
  </si>
  <si>
    <t>最高限度額_医療</t>
  </si>
  <si>
    <t>最高限度額_支援金</t>
  </si>
  <si>
    <t>最高限度額_介護</t>
  </si>
  <si>
    <t>最高限度額_子ども</t>
  </si>
  <si>
    <t>介護対象年齢_下限</t>
  </si>
  <si>
    <t>介護対象年齢_上限</t>
  </si>
  <si>
    <t>失業(会社都合)給与所得按分率</t>
  </si>
  <si>
    <t>基礎控除_2400万円以下</t>
  </si>
  <si>
    <t>基礎控除_2400万超2450万以下</t>
  </si>
  <si>
    <t>基礎控除_2450万超2500万以下</t>
  </si>
  <si>
    <t>基礎控除_2500万超</t>
  </si>
  <si>
    <t>基礎控除判定_2400万円</t>
  </si>
  <si>
    <t>基礎控除判定_2450万円</t>
  </si>
  <si>
    <t>基礎控除判定_2500万円</t>
  </si>
  <si>
    <t>均等割軽減判定_基準額</t>
  </si>
  <si>
    <t>均等割軽減判定_給与所得者等加算(10万円)</t>
  </si>
  <si>
    <t>均等割軽減判定_5割加算(31万円×人数)</t>
  </si>
  <si>
    <t>均等割軽減判定_2割加算(57万円×人数)</t>
  </si>
  <si>
    <t>軽減判定_年金控除(65歳以上)_15万円</t>
  </si>
  <si>
    <t>【2】シートの緑色のセルを入力してください</t>
    <phoneticPr fontId="1"/>
  </si>
  <si>
    <t>千代田区国民健康保険料の試算シート</t>
    <phoneticPr fontId="1"/>
  </si>
  <si>
    <t>令和８年度</t>
    <rPh sb="0" eb="2">
      <t>レイワ</t>
    </rPh>
    <rPh sb="3" eb="5">
      <t>ネンド</t>
    </rPh>
    <phoneticPr fontId="1"/>
  </si>
  <si>
    <t>年齢</t>
    <phoneticPr fontId="1"/>
  </si>
  <si>
    <t>合計</t>
    <phoneticPr fontId="1"/>
  </si>
  <si>
    <t>年間保険料
（上限適用後）</t>
    <rPh sb="0" eb="2">
      <t>ネンカン</t>
    </rPh>
    <rPh sb="2" eb="5">
      <t>ホケンリョウ</t>
    </rPh>
    <phoneticPr fontId="1"/>
  </si>
  <si>
    <t>賦課年度（令和〇年度）</t>
    <rPh sb="0" eb="4">
      <t>フカネンド</t>
    </rPh>
    <rPh sb="5" eb="7">
      <t>レイワ</t>
    </rPh>
    <rPh sb="8" eb="10">
      <t>ネンド</t>
    </rPh>
    <phoneticPr fontId="1"/>
  </si>
  <si>
    <t>賦課年度（yyyy）</t>
    <rPh sb="0" eb="4">
      <t>フカネンド</t>
    </rPh>
    <phoneticPr fontId="1"/>
  </si>
  <si>
    <t>加入日※1</t>
    <phoneticPr fontId="1"/>
  </si>
  <si>
    <t>No.※2</t>
    <phoneticPr fontId="1"/>
  </si>
  <si>
    <t>国保加入※3</t>
    <phoneticPr fontId="1"/>
  </si>
  <si>
    <t>給与所得※4</t>
    <phoneticPr fontId="1"/>
  </si>
  <si>
    <t>その他所得※6</t>
    <phoneticPr fontId="1"/>
  </si>
  <si>
    <t>ご自身の所得は、源泉徴収票または確定申告書等でご確認ください。</t>
    <phoneticPr fontId="1"/>
  </si>
  <si>
    <t>【職員用説明】</t>
  </si>
  <si>
    <t>均等割額</t>
    <rPh sb="0" eb="3">
      <t>キントウワ</t>
    </rPh>
    <rPh sb="3" eb="4">
      <t>ガク</t>
    </rPh>
    <phoneticPr fontId="1"/>
  </si>
  <si>
    <t>所得割額料率</t>
    <rPh sb="0" eb="3">
      <t>ショトクワリ</t>
    </rPh>
    <rPh sb="3" eb="4">
      <t>ガク</t>
    </rPh>
    <rPh sb="4" eb="6">
      <t>リョウリツ</t>
    </rPh>
    <phoneticPr fontId="1"/>
  </si>
  <si>
    <t>No.</t>
    <phoneticPr fontId="1"/>
  </si>
  <si>
    <t>【年額 簡易表示】</t>
    <rPh sb="1" eb="3">
      <t>ネンガク</t>
    </rPh>
    <rPh sb="4" eb="8">
      <t>カンイヒョウジ</t>
    </rPh>
    <phoneticPr fontId="1"/>
  </si>
  <si>
    <t>【年額 詳細】</t>
    <rPh sb="1" eb="3">
      <t>ネンガク</t>
    </rPh>
    <rPh sb="4" eb="6">
      <t>ショウサイ</t>
    </rPh>
    <phoneticPr fontId="1"/>
  </si>
  <si>
    <t>・非自発的軽減が「はい」の方は適用後の所得で判定しています（ただし世帯主が「擬主」の場合適用しません。）。</t>
    <phoneticPr fontId="1"/>
  </si>
  <si>
    <t>・65才以上の公的年金等所得がある方は15万円の控除を適用しています（ただし適用後の年金所得が0円未満の場合、0円としています）。</t>
    <phoneticPr fontId="1"/>
  </si>
  <si>
    <t>・（給与所得者等の数－１）×10万円の控除を適用後の所得で判定しています。</t>
    <rPh sb="7" eb="8">
      <t>ナド</t>
    </rPh>
    <phoneticPr fontId="1"/>
  </si>
  <si>
    <t>・給与所得者等の定義は以下のとおりです。</t>
    <rPh sb="1" eb="6">
      <t>キュウヨショトクシャ</t>
    </rPh>
    <rPh sb="6" eb="7">
      <t>ナド</t>
    </rPh>
    <rPh sb="8" eb="10">
      <t>テイギ</t>
    </rPh>
    <rPh sb="11" eb="13">
      <t>イカ</t>
    </rPh>
    <phoneticPr fontId="1"/>
  </si>
  <si>
    <t>　①65歳未満は年金所得が0円を超える者 ②65才以上は「年金所得－15万円」が0円を超える者 ③給与所得が０円を超える者</t>
    <phoneticPr fontId="1"/>
  </si>
  <si>
    <t>　※年金所得以外の所得が1,000万円を超える者は年金控除額が異なるため、誤って給与所得者等の数に含まれる場合があります。</t>
    <phoneticPr fontId="1"/>
  </si>
  <si>
    <t>　　年金所得以外に1,000万円以上所得がある場合均等割額の減額に該当しないと思われるので、影響はないと考えます。</t>
    <phoneticPr fontId="1"/>
  </si>
  <si>
    <t>　　給与所得の判定は本来、給与収入が55万円を超える者が対象です。</t>
    <rPh sb="7" eb="9">
      <t>ハンテイ</t>
    </rPh>
    <rPh sb="10" eb="12">
      <t>ホンライ</t>
    </rPh>
    <rPh sb="28" eb="30">
      <t>タイショウ</t>
    </rPh>
    <phoneticPr fontId="1"/>
  </si>
  <si>
    <t>　※年金所得の判定は本来、「65歳未満」は年金収入60万円を超える者、「65才以上」は年金収入が125万円を超える者が対象です。</t>
    <phoneticPr fontId="1"/>
  </si>
  <si>
    <t>・専従者控除所得は必要経費として考慮しないで軽減判定しますが、本シートでは反映していません。</t>
    <phoneticPr fontId="1"/>
  </si>
  <si>
    <t>・専従者給与所得は軽減判定所得に含めず計算しますが、本シートでは反映していません。</t>
    <phoneticPr fontId="1"/>
  </si>
  <si>
    <t>・土地、建物に係る譲渡所得は特別控除前の所得で判定を行いますが、本シートでは反映していません。</t>
    <phoneticPr fontId="1"/>
  </si>
  <si>
    <t>【参考】所得の確認方法について</t>
    <rPh sb="1" eb="3">
      <t>サンコウ</t>
    </rPh>
    <rPh sb="4" eb="6">
      <t>ショトク</t>
    </rPh>
    <rPh sb="7" eb="9">
      <t>カクニン</t>
    </rPh>
    <rPh sb="9" eb="11">
      <t>ホウホウ</t>
    </rPh>
    <phoneticPr fontId="1"/>
  </si>
  <si>
    <t>所得金額は0円です。</t>
  </si>
  <si>
    <t>年齢区分</t>
    <rPh sb="0" eb="2">
      <t>ネンレイ</t>
    </rPh>
    <rPh sb="2" eb="4">
      <t>クブン</t>
    </rPh>
    <phoneticPr fontId="14"/>
  </si>
  <si>
    <t>公的年金等の収入金額の合計額 (a)</t>
  </si>
  <si>
    <t>公的年金等に係る雑所得の金額の計算方法</t>
  </si>
  <si>
    <t>公的年金等に係る雑所得以外の所得に係る合計所得金額</t>
    <rPh sb="0" eb="2">
      <t>コウテキ</t>
    </rPh>
    <rPh sb="2" eb="4">
      <t>ネンキン</t>
    </rPh>
    <rPh sb="4" eb="5">
      <t>トウ</t>
    </rPh>
    <rPh sb="6" eb="7">
      <t>カカ</t>
    </rPh>
    <rPh sb="8" eb="11">
      <t>ザツショトク</t>
    </rPh>
    <rPh sb="11" eb="13">
      <t>イガイ</t>
    </rPh>
    <rPh sb="14" eb="16">
      <t>ショトク</t>
    </rPh>
    <rPh sb="17" eb="18">
      <t>カカ</t>
    </rPh>
    <rPh sb="19" eb="21">
      <t>ゴウケイ</t>
    </rPh>
    <rPh sb="21" eb="23">
      <t>ショトク</t>
    </rPh>
    <rPh sb="23" eb="25">
      <t>キンガク</t>
    </rPh>
    <phoneticPr fontId="14"/>
  </si>
  <si>
    <t>1,000万円以下</t>
    <rPh sb="5" eb="7">
      <t>マンエン</t>
    </rPh>
    <rPh sb="7" eb="9">
      <t>イカ</t>
    </rPh>
    <phoneticPr fontId="14"/>
  </si>
  <si>
    <t>1,000万円超2,000万円以下</t>
    <rPh sb="5" eb="7">
      <t>マンエン</t>
    </rPh>
    <rPh sb="7" eb="8">
      <t>チョウ</t>
    </rPh>
    <rPh sb="13" eb="15">
      <t>マンエン</t>
    </rPh>
    <rPh sb="15" eb="17">
      <t>イカ</t>
    </rPh>
    <phoneticPr fontId="14"/>
  </si>
  <si>
    <t>2,000万円超</t>
    <rPh sb="5" eb="7">
      <t>マンエン</t>
    </rPh>
    <rPh sb="7" eb="8">
      <t>チョウ</t>
    </rPh>
    <phoneticPr fontId="14"/>
  </si>
  <si>
    <t>65歳未満</t>
    <rPh sb="2" eb="3">
      <t>サイ</t>
    </rPh>
    <rPh sb="3" eb="5">
      <t>ミマン</t>
    </rPh>
    <phoneticPr fontId="14"/>
  </si>
  <si>
    <t>0～600,000</t>
    <phoneticPr fontId="14"/>
  </si>
  <si>
    <t>所得金額は0円です。</t>
    <rPh sb="0" eb="2">
      <t>ショトク</t>
    </rPh>
    <rPh sb="2" eb="4">
      <t>キンガク</t>
    </rPh>
    <rPh sb="6" eb="7">
      <t>エン</t>
    </rPh>
    <phoneticPr fontId="14"/>
  </si>
  <si>
    <t>600,001円から1,299,999円まで</t>
    <rPh sb="7" eb="8">
      <t>エン</t>
    </rPh>
    <rPh sb="19" eb="20">
      <t>エン</t>
    </rPh>
    <phoneticPr fontId="14"/>
  </si>
  <si>
    <t>(a)×1－600,000円</t>
    <rPh sb="13" eb="14">
      <t>エン</t>
    </rPh>
    <phoneticPr fontId="14"/>
  </si>
  <si>
    <t>(a)×1－500,000円</t>
    <rPh sb="13" eb="14">
      <t>エン</t>
    </rPh>
    <phoneticPr fontId="14"/>
  </si>
  <si>
    <t>(a)×1－400,000円</t>
    <rPh sb="13" eb="14">
      <t>エン</t>
    </rPh>
    <phoneticPr fontId="14"/>
  </si>
  <si>
    <t>1,300,000円から4,099,999円まで</t>
    <rPh sb="9" eb="10">
      <t>エン</t>
    </rPh>
    <rPh sb="21" eb="22">
      <t>エン</t>
    </rPh>
    <phoneticPr fontId="14"/>
  </si>
  <si>
    <t>(a)×0.75－275,000円</t>
    <rPh sb="16" eb="17">
      <t>エン</t>
    </rPh>
    <phoneticPr fontId="14"/>
  </si>
  <si>
    <t>(a)×0.75－175,000円</t>
    <rPh sb="16" eb="17">
      <t>エン</t>
    </rPh>
    <phoneticPr fontId="14"/>
  </si>
  <si>
    <t>(a)×0.75－75,000円</t>
    <rPh sb="15" eb="16">
      <t>エン</t>
    </rPh>
    <phoneticPr fontId="14"/>
  </si>
  <si>
    <t>4,100,000円から7,699,999円まで</t>
    <rPh sb="9" eb="10">
      <t>エン</t>
    </rPh>
    <rPh sb="21" eb="22">
      <t>エン</t>
    </rPh>
    <phoneticPr fontId="14"/>
  </si>
  <si>
    <t>(a)×0.85－685,000円</t>
    <rPh sb="16" eb="17">
      <t>エン</t>
    </rPh>
    <phoneticPr fontId="14"/>
  </si>
  <si>
    <t>(a)×0.85－585,000円</t>
    <rPh sb="16" eb="17">
      <t>エン</t>
    </rPh>
    <phoneticPr fontId="14"/>
  </si>
  <si>
    <t>(a)×0.85－485,000円</t>
    <rPh sb="16" eb="17">
      <t>エン</t>
    </rPh>
    <phoneticPr fontId="14"/>
  </si>
  <si>
    <t>7,700,000円から9,999,999円まで</t>
    <rPh sb="9" eb="10">
      <t>エン</t>
    </rPh>
    <rPh sb="21" eb="22">
      <t>エン</t>
    </rPh>
    <phoneticPr fontId="14"/>
  </si>
  <si>
    <t>(a)×0.95－1,455,000円</t>
    <rPh sb="18" eb="19">
      <t>エン</t>
    </rPh>
    <phoneticPr fontId="14"/>
  </si>
  <si>
    <t>(a)×0.95－1,355,000円</t>
    <rPh sb="18" eb="19">
      <t>エン</t>
    </rPh>
    <phoneticPr fontId="14"/>
  </si>
  <si>
    <t>(a)×0.95－1,255,000円</t>
    <rPh sb="18" eb="19">
      <t>エン</t>
    </rPh>
    <phoneticPr fontId="14"/>
  </si>
  <si>
    <t>10,000,000円以上</t>
    <rPh sb="10" eb="11">
      <t>エン</t>
    </rPh>
    <rPh sb="11" eb="13">
      <t>イジョウ</t>
    </rPh>
    <phoneticPr fontId="14"/>
  </si>
  <si>
    <t>(a)×1－1,955,000円</t>
    <rPh sb="15" eb="16">
      <t>エン</t>
    </rPh>
    <phoneticPr fontId="14"/>
  </si>
  <si>
    <t>(a)×1－1,855,000円</t>
    <rPh sb="15" eb="16">
      <t>エン</t>
    </rPh>
    <phoneticPr fontId="14"/>
  </si>
  <si>
    <t>(a)×1－1,755,000円</t>
    <rPh sb="15" eb="16">
      <t>エン</t>
    </rPh>
    <phoneticPr fontId="14"/>
  </si>
  <si>
    <t>65歳以上</t>
    <rPh sb="2" eb="3">
      <t>サイ</t>
    </rPh>
    <rPh sb="3" eb="5">
      <t>イジョウ</t>
    </rPh>
    <phoneticPr fontId="14"/>
  </si>
  <si>
    <t>0～1,100,000</t>
    <phoneticPr fontId="14"/>
  </si>
  <si>
    <t>1,100,001円から3,299,999円まで</t>
    <rPh sb="9" eb="10">
      <t>エン</t>
    </rPh>
    <rPh sb="21" eb="22">
      <t>エン</t>
    </rPh>
    <phoneticPr fontId="14"/>
  </si>
  <si>
    <t>(a)×1－1,100,000円</t>
    <rPh sb="15" eb="16">
      <t>エン</t>
    </rPh>
    <phoneticPr fontId="14"/>
  </si>
  <si>
    <t>(a)×1－1,000,000円</t>
    <rPh sb="15" eb="16">
      <t>エン</t>
    </rPh>
    <phoneticPr fontId="14"/>
  </si>
  <si>
    <t>(a)×1－900,000円</t>
    <rPh sb="13" eb="14">
      <t>エン</t>
    </rPh>
    <phoneticPr fontId="14"/>
  </si>
  <si>
    <t>3,300,000円から4,099,999円まで</t>
    <rPh sb="9" eb="10">
      <t>エン</t>
    </rPh>
    <rPh sb="21" eb="22">
      <t>エン</t>
    </rPh>
    <phoneticPr fontId="14"/>
  </si>
  <si>
    <t>計算</t>
    <phoneticPr fontId="1"/>
  </si>
  <si>
    <t>公的年金等
所得※5</t>
    <phoneticPr fontId="1"/>
  </si>
  <si>
    <t>(１か月あたり</t>
    <rPh sb="3" eb="4">
      <t>ゲツ</t>
    </rPh>
    <phoneticPr fontId="14"/>
  </si>
  <si>
    <t>No.</t>
    <phoneticPr fontId="14"/>
  </si>
  <si>
    <t>)です。※1</t>
    <phoneticPr fontId="14"/>
  </si>
  <si>
    <t>【千代田区の保険料率等】※4</t>
    <rPh sb="1" eb="5">
      <t>チヨダク</t>
    </rPh>
    <rPh sb="6" eb="9">
      <t>ホケンリョウ</t>
    </rPh>
    <rPh sb="9" eb="10">
      <t>リツ</t>
    </rPh>
    <rPh sb="10" eb="11">
      <t>ナド</t>
    </rPh>
    <phoneticPr fontId="14"/>
  </si>
  <si>
    <t>【3】試算結果（注釈を必ずご確認ください）</t>
    <rPh sb="8" eb="10">
      <t>チュウシャク</t>
    </rPh>
    <phoneticPr fontId="14"/>
  </si>
  <si>
    <t>会社都合失業
※7</t>
    <phoneticPr fontId="1"/>
  </si>
  <si>
    <t>　①給与所得は源泉徴収票の給与所得控除後の金額（赤枠内）をご入力ください。</t>
    <rPh sb="2" eb="4">
      <t>キュウヨ</t>
    </rPh>
    <rPh sb="4" eb="6">
      <t>ショトク</t>
    </rPh>
    <rPh sb="7" eb="12">
      <t>ゲンセンチョウシュウヒョウ</t>
    </rPh>
    <rPh sb="13" eb="19">
      <t>キュウヨショトクコウジョ</t>
    </rPh>
    <rPh sb="19" eb="20">
      <t>ゴ</t>
    </rPh>
    <rPh sb="21" eb="23">
      <t>キンガク</t>
    </rPh>
    <rPh sb="24" eb="25">
      <t>アカ</t>
    </rPh>
    <rPh sb="25" eb="27">
      <t>ワクナイ</t>
    </rPh>
    <rPh sb="30" eb="32">
      <t>ニュウリョク</t>
    </rPh>
    <phoneticPr fontId="1"/>
  </si>
  <si>
    <t>　③その他所得は確定申告書⑫番の合計欄（赤枠内）から給与所得及び公的年金等雑所得を減じた額入力してください。</t>
    <rPh sb="4" eb="5">
      <t>タ</t>
    </rPh>
    <rPh sb="5" eb="7">
      <t>ショトク</t>
    </rPh>
    <rPh sb="8" eb="12">
      <t>カクテイシンコク</t>
    </rPh>
    <rPh sb="12" eb="13">
      <t>ショ</t>
    </rPh>
    <rPh sb="14" eb="15">
      <t>バン</t>
    </rPh>
    <rPh sb="16" eb="18">
      <t>ゴウケイ</t>
    </rPh>
    <rPh sb="18" eb="19">
      <t>ラン</t>
    </rPh>
    <rPh sb="20" eb="21">
      <t>アカ</t>
    </rPh>
    <rPh sb="21" eb="23">
      <t>ワクナイ</t>
    </rPh>
    <rPh sb="26" eb="28">
      <t>キュウヨ</t>
    </rPh>
    <rPh sb="28" eb="30">
      <t>ショトク</t>
    </rPh>
    <rPh sb="30" eb="31">
      <t>オヨ</t>
    </rPh>
    <rPh sb="32" eb="34">
      <t>コウテキ</t>
    </rPh>
    <rPh sb="34" eb="36">
      <t>ネンキン</t>
    </rPh>
    <rPh sb="36" eb="37">
      <t>トウ</t>
    </rPh>
    <rPh sb="37" eb="40">
      <t>ザッショトク</t>
    </rPh>
    <rPh sb="41" eb="42">
      <t>ゲン</t>
    </rPh>
    <rPh sb="44" eb="45">
      <t>ガク</t>
    </rPh>
    <rPh sb="45" eb="47">
      <t>ニュウリョク</t>
    </rPh>
    <phoneticPr fontId="1"/>
  </si>
  <si>
    <t>世帯主は国保に加入しますか</t>
    <phoneticPr fontId="1"/>
  </si>
  <si>
    <t>均等割額の
軽減率は</t>
    <rPh sb="0" eb="3">
      <t>キントウワ</t>
    </rPh>
    <rPh sb="3" eb="4">
      <t>ガク</t>
    </rPh>
    <rPh sb="6" eb="9">
      <t>ケイゲンリツ</t>
    </rPh>
    <phoneticPr fontId="14"/>
  </si>
  <si>
    <t>あなた(世帯)の保険料は約</t>
    <rPh sb="4" eb="5">
      <t>セイ</t>
    </rPh>
    <rPh sb="8" eb="11">
      <t>ホケンリョウ</t>
    </rPh>
    <rPh sb="12" eb="13">
      <t>ヤク</t>
    </rPh>
    <phoneticPr fontId="14"/>
  </si>
  <si>
    <t>均等割軽減率
（〇割）</t>
    <rPh sb="9" eb="10">
      <t>ワリ</t>
    </rPh>
    <phoneticPr fontId="1"/>
  </si>
  <si>
    <t xml:space="preserve">区ホームページ：国民健康保険料 </t>
    <phoneticPr fontId="14"/>
  </si>
  <si>
    <t>所得割額</t>
    <rPh sb="3" eb="4">
      <t>ガク</t>
    </rPh>
    <phoneticPr fontId="14"/>
  </si>
  <si>
    <t>均等割額
(軽減後)</t>
    <rPh sb="3" eb="4">
      <t>ガク</t>
    </rPh>
    <phoneticPr fontId="14"/>
  </si>
  <si>
    <t>均等割額</t>
    <rPh sb="3" eb="4">
      <t>ガク</t>
    </rPh>
    <phoneticPr fontId="14"/>
  </si>
  <si>
    <t>　なお、ご不明な点がある場合は、税務署等へお尋ねください。</t>
    <phoneticPr fontId="14"/>
  </si>
  <si>
    <t>②公的年金等所得は、公的年金等収入（赤枠内）を、下表の計算式に当てはめて算出してください。</t>
    <rPh sb="1" eb="3">
      <t>コウテキ</t>
    </rPh>
    <rPh sb="3" eb="5">
      <t>ネンキン</t>
    </rPh>
    <rPh sb="5" eb="6">
      <t>トウ</t>
    </rPh>
    <rPh sb="6" eb="8">
      <t>ショトク</t>
    </rPh>
    <rPh sb="10" eb="12">
      <t>コウテキ</t>
    </rPh>
    <rPh sb="12" eb="15">
      <t>ネンキンナド</t>
    </rPh>
    <rPh sb="15" eb="17">
      <t>シュウニュウ</t>
    </rPh>
    <rPh sb="18" eb="19">
      <t>アカ</t>
    </rPh>
    <rPh sb="19" eb="21">
      <t>ワクナイ</t>
    </rPh>
    <rPh sb="24" eb="26">
      <t>カヒョウ</t>
    </rPh>
    <rPh sb="27" eb="30">
      <t>ケイサンシキ</t>
    </rPh>
    <rPh sb="31" eb="32">
      <t>ア</t>
    </rPh>
    <rPh sb="36" eb="38">
      <t>サンシュツ</t>
    </rPh>
    <phoneticPr fontId="14"/>
  </si>
  <si>
    <t>後期高齢者
支援金分</t>
    <phoneticPr fontId="14"/>
  </si>
  <si>
    <t>【保険料内訳（12か月分）】※3</t>
    <rPh sb="1" eb="4">
      <t>ホケンリョウ</t>
    </rPh>
    <rPh sb="10" eb="11">
      <t>ゲツ</t>
    </rPh>
    <rPh sb="11" eb="12">
      <t>ブン</t>
    </rPh>
    <phoneticPr fontId="1"/>
  </si>
  <si>
    <t>【加入者別内訳（12か月分）】※5</t>
    <rPh sb="12" eb="13">
      <t>ブン</t>
    </rPh>
    <phoneticPr fontId="1"/>
  </si>
  <si>
    <t>パラメータ</t>
    <phoneticPr fontId="1"/>
  </si>
  <si>
    <t>〇制度内容が変わった場合、左の数値を修正してください</t>
    <rPh sb="13" eb="14">
      <t>ヒダリ</t>
    </rPh>
    <rPh sb="15" eb="17">
      <t>スウチ</t>
    </rPh>
    <phoneticPr fontId="1"/>
  </si>
  <si>
    <t>〇均等割額減額判定用所得について</t>
    <phoneticPr fontId="1"/>
  </si>
  <si>
    <t>年齢</t>
    <rPh sb="0" eb="2">
      <t>ネンレイ</t>
    </rPh>
    <phoneticPr fontId="14"/>
  </si>
  <si>
    <t>算定基礎額</t>
    <rPh sb="0" eb="5">
      <t>サンテイキソガク</t>
    </rPh>
    <phoneticPr fontId="14"/>
  </si>
  <si>
    <t>被保険者数（国保加入人数）</t>
    <phoneticPr fontId="1"/>
  </si>
  <si>
    <t>給与所得者等の人数</t>
    <phoneticPr fontId="1"/>
  </si>
  <si>
    <t>世帯所得（判定用所得）</t>
    <rPh sb="8" eb="10">
      <t>ショトク</t>
    </rPh>
    <phoneticPr fontId="1"/>
  </si>
  <si>
    <t>未就学均等割軽減率</t>
    <phoneticPr fontId="1"/>
  </si>
  <si>
    <t>子ども分均等割免除年齢_上限</t>
    <phoneticPr fontId="1"/>
  </si>
  <si>
    <t>未就学児年齢（均等割半額対象）_上限</t>
    <rPh sb="0" eb="4">
      <t>ミシュウガクジ</t>
    </rPh>
    <rPh sb="4" eb="6">
      <t>ネンレイ</t>
    </rPh>
    <rPh sb="7" eb="10">
      <t>キントウワ</t>
    </rPh>
    <rPh sb="10" eb="12">
      <t>ハンガク</t>
    </rPh>
    <rPh sb="12" eb="14">
      <t>タイショウ</t>
    </rPh>
    <phoneticPr fontId="1"/>
  </si>
  <si>
    <t>【雑所得算出表】</t>
    <rPh sb="1" eb="4">
      <t>ザッショトク</t>
    </rPh>
    <rPh sb="4" eb="6">
      <t>サンシュツ</t>
    </rPh>
    <rPh sb="6" eb="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</si>
</sst>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mm/dd"/>
    <numFmt numFmtId="177" formatCode="0.0%"/>
    <numFmt numFmtId="178" formatCode="&quot;世帯主 　&quot;0"/>
    <numFmt numFmtId="179" formatCode="&quot;加入者 　&quot;0"/>
    <numFmt numFmtId="180" formatCode="&quot;加入者  &quot;0"/>
    <numFmt numFmtId="181" formatCode="#,##0&quot;円&quot;"/>
    <numFmt numFmtId="182" formatCode="0&quot; 割です※2&quot;"/>
    <numFmt numFmtId="183" formatCode="0&quot; か月&quot;"/>
  </numFmts>
  <fonts count="22" x14ac:knownFonts="1">
    <font>
      <sz val="11"/>
      <color theme="1"/>
      <name val="ＭＳ Ｐゴシック"/>
      <family val="2"/>
      <scheme val="minor"/>
    </font>
    <font>
      <sz val="6"/>
      <name val="ＭＳ Ｐゴシック"/>
      <family val="3"/>
      <charset val="128"/>
      <scheme val="minor"/>
    </font>
    <font>
      <sz val="11"/>
      <color theme="1"/>
      <name val="BIZ UDゴシック"/>
      <family val="3"/>
      <charset val="128"/>
    </font>
    <font>
      <b/>
      <sz val="11"/>
      <name val="BIZ UDゴシック"/>
      <family val="3"/>
      <charset val="128"/>
    </font>
    <font>
      <b/>
      <sz val="11"/>
      <color rgb="FFFFFFFF"/>
      <name val="BIZ UDゴシック"/>
      <family val="3"/>
      <charset val="128"/>
    </font>
    <font>
      <b/>
      <sz val="13"/>
      <name val="BIZ UDゴシック"/>
      <family val="3"/>
      <charset val="128"/>
    </font>
    <font>
      <sz val="10"/>
      <color theme="1"/>
      <name val="BIZ UDゴシック"/>
      <family val="3"/>
      <charset val="128"/>
    </font>
    <font>
      <b/>
      <sz val="11"/>
      <color theme="1"/>
      <name val="BIZ UDゴシック"/>
      <family val="3"/>
      <charset val="128"/>
    </font>
    <font>
      <sz val="10"/>
      <name val="BIZ UDゴシック"/>
      <family val="3"/>
      <charset val="128"/>
    </font>
    <font>
      <b/>
      <sz val="12"/>
      <name val="BIZ UDゴシック"/>
      <family val="3"/>
      <charset val="128"/>
    </font>
    <font>
      <b/>
      <sz val="12"/>
      <color theme="1"/>
      <name val="BIZ UDゴシック"/>
      <family val="3"/>
      <charset val="128"/>
    </font>
    <font>
      <sz val="11"/>
      <color theme="1"/>
      <name val="ＭＳ Ｐゴシック"/>
      <family val="2"/>
      <scheme val="minor"/>
    </font>
    <font>
      <b/>
      <sz val="10"/>
      <color theme="0"/>
      <name val="BIZ UDゴシック"/>
      <family val="3"/>
      <charset val="128"/>
    </font>
    <font>
      <b/>
      <sz val="10"/>
      <color rgb="FFFFFFFF"/>
      <name val="BIZ UDゴシック"/>
      <family val="3"/>
      <charset val="128"/>
    </font>
    <font>
      <sz val="6"/>
      <name val="ＭＳ Ｐゴシック"/>
      <family val="2"/>
      <charset val="128"/>
      <scheme val="minor"/>
    </font>
    <font>
      <u/>
      <sz val="11"/>
      <color theme="10"/>
      <name val="ＭＳ Ｐゴシック"/>
      <family val="2"/>
      <scheme val="minor"/>
    </font>
    <font>
      <u/>
      <sz val="10"/>
      <color theme="10"/>
      <name val="BIZ UDゴシック"/>
      <family val="3"/>
      <charset val="128"/>
    </font>
    <font>
      <b/>
      <sz val="10"/>
      <name val="BIZ UDゴシック"/>
      <family val="3"/>
      <charset val="128"/>
    </font>
    <font>
      <b/>
      <sz val="10"/>
      <color theme="1"/>
      <name val="BIZ UDゴシック"/>
      <family val="3"/>
      <charset val="128"/>
    </font>
    <font>
      <sz val="10"/>
      <color rgb="FF000000"/>
      <name val="BIZ UDゴシック"/>
      <family val="3"/>
      <charset val="128"/>
    </font>
    <font>
      <sz val="10"/>
      <color theme="0"/>
      <name val="BIZ UDゴシック"/>
      <family val="3"/>
      <charset val="128"/>
    </font>
    <font>
      <sz val="9"/>
      <color theme="1"/>
      <name val="BIZ UDゴシック"/>
      <family val="3"/>
      <charset val="128"/>
    </font>
  </fonts>
  <fills count="14">
    <fill>
      <patternFill patternType="none"/>
    </fill>
    <fill>
      <patternFill patternType="gray125"/>
    </fill>
    <fill>
      <patternFill patternType="solid">
        <fgColor rgb="FF1F4E79"/>
      </patternFill>
    </fill>
    <fill>
      <patternFill patternType="solid">
        <fgColor theme="6"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bgColor indexed="64"/>
      </patternFill>
    </fill>
  </fills>
  <borders count="36">
    <border>
      <left/>
      <right/>
      <top/>
      <bottom/>
      <diagonal/>
    </border>
    <border>
      <left style="thin">
        <color rgb="FF999999"/>
      </left>
      <right style="thin">
        <color rgb="FF999999"/>
      </right>
      <top style="thin">
        <color rgb="FF999999"/>
      </top>
      <bottom style="thin">
        <color rgb="FF999999"/>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999999"/>
      </left>
      <right style="thin">
        <color rgb="FF999999"/>
      </right>
      <top/>
      <bottom style="thin">
        <color rgb="FF999999"/>
      </bottom>
      <diagonal/>
    </border>
  </borders>
  <cellStyleXfs count="3">
    <xf numFmtId="0" fontId="0" fillId="0" borderId="0"/>
    <xf numFmtId="9" fontId="11" fillId="0" borderId="0" applyFont="0" applyFill="0" applyBorder="0" applyAlignment="0" applyProtection="0">
      <alignment vertical="center"/>
    </xf>
    <xf numFmtId="0" fontId="15" fillId="0" borderId="0" applyNumberFormat="0" applyFill="0" applyBorder="0" applyAlignment="0" applyProtection="0"/>
  </cellStyleXfs>
  <cellXfs count="121">
    <xf numFmtId="0" fontId="0" fillId="0" borderId="0" xfId="0"/>
    <xf numFmtId="0" fontId="2" fillId="0" borderId="0" xfId="0" applyFont="1"/>
    <xf numFmtId="0" fontId="5" fillId="0" borderId="0" xfId="0" applyFont="1"/>
    <xf numFmtId="0" fontId="2" fillId="0" borderId="1" xfId="0" applyFont="1" applyBorder="1" applyAlignment="1">
      <alignment horizontal="right" vertical="center"/>
    </xf>
    <xf numFmtId="0" fontId="4" fillId="2" borderId="0" xfId="0" applyFont="1" applyFill="1" applyAlignment="1">
      <alignment horizontal="center" vertical="center" wrapText="1"/>
    </xf>
    <xf numFmtId="0" fontId="6" fillId="0" borderId="0" xfId="0" applyFont="1"/>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10" fillId="0" borderId="0" xfId="0" applyFont="1" applyAlignment="1">
      <alignment vertical="center"/>
    </xf>
    <xf numFmtId="0" fontId="2" fillId="0" borderId="1" xfId="0" applyFont="1" applyBorder="1"/>
    <xf numFmtId="0" fontId="2" fillId="0" borderId="1" xfId="0" applyFont="1" applyBorder="1" applyAlignment="1">
      <alignment horizontal="right"/>
    </xf>
    <xf numFmtId="0" fontId="12" fillId="4"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2" fillId="8" borderId="1" xfId="0" applyFont="1" applyFill="1" applyBorder="1" applyAlignment="1">
      <alignment horizontal="left" vertical="top" wrapText="1"/>
    </xf>
    <xf numFmtId="0" fontId="2" fillId="8" borderId="1" xfId="0" applyFont="1" applyFill="1" applyBorder="1"/>
    <xf numFmtId="0" fontId="16" fillId="0" borderId="0" xfId="2" applyFont="1" applyAlignment="1">
      <alignment vertical="center"/>
    </xf>
    <xf numFmtId="0" fontId="6"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9" fillId="0" borderId="0" xfId="0" applyFont="1" applyAlignment="1">
      <alignment horizontal="center" vertical="center"/>
    </xf>
    <xf numFmtId="0" fontId="3" fillId="0" borderId="0" xfId="0" applyFont="1" applyAlignment="1">
      <alignment horizontal="left" vertical="center"/>
    </xf>
    <xf numFmtId="0" fontId="18" fillId="0" borderId="0" xfId="0" applyFont="1" applyAlignment="1">
      <alignment vertical="center"/>
    </xf>
    <xf numFmtId="178" fontId="6" fillId="8" borderId="1" xfId="0" applyNumberFormat="1" applyFont="1" applyFill="1" applyBorder="1" applyAlignment="1">
      <alignment horizontal="right" vertical="center" wrapText="1"/>
    </xf>
    <xf numFmtId="0" fontId="6" fillId="8" borderId="1" xfId="0" applyFont="1" applyFill="1" applyBorder="1" applyAlignment="1">
      <alignment horizontal="center" vertical="center"/>
    </xf>
    <xf numFmtId="179" fontId="6" fillId="8" borderId="1" xfId="0" applyNumberFormat="1" applyFont="1" applyFill="1" applyBorder="1" applyAlignment="1">
      <alignment horizontal="right" vertical="center" wrapText="1"/>
    </xf>
    <xf numFmtId="180" fontId="6" fillId="8" borderId="1"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horizontal="right" vertical="center"/>
    </xf>
    <xf numFmtId="3" fontId="6" fillId="6" borderId="1" xfId="0" applyNumberFormat="1" applyFont="1" applyFill="1" applyBorder="1" applyAlignment="1">
      <alignment horizontal="right" vertical="center"/>
    </xf>
    <xf numFmtId="10" fontId="6" fillId="6" borderId="1" xfId="1" applyNumberFormat="1" applyFont="1" applyFill="1" applyBorder="1" applyAlignment="1">
      <alignment horizontal="right" vertical="center"/>
    </xf>
    <xf numFmtId="0" fontId="17" fillId="0" borderId="0" xfId="0" applyFont="1" applyAlignment="1">
      <alignment vertical="center"/>
    </xf>
    <xf numFmtId="0" fontId="6" fillId="0" borderId="1" xfId="0" applyFont="1" applyBorder="1" applyAlignment="1">
      <alignment horizontal="right" vertical="center" wrapText="1"/>
    </xf>
    <xf numFmtId="0" fontId="18" fillId="0" borderId="0" xfId="0" applyFont="1" applyAlignment="1">
      <alignment horizontal="left" vertical="center"/>
    </xf>
    <xf numFmtId="0" fontId="6" fillId="12" borderId="34" xfId="0" applyFont="1" applyFill="1" applyBorder="1" applyAlignment="1">
      <alignment vertical="center"/>
    </xf>
    <xf numFmtId="0" fontId="13" fillId="13" borderId="1" xfId="0" applyFont="1" applyFill="1" applyBorder="1" applyAlignment="1">
      <alignment horizontal="center" vertical="center" wrapText="1"/>
    </xf>
    <xf numFmtId="181" fontId="7" fillId="12" borderId="33" xfId="0" applyNumberFormat="1" applyFont="1" applyFill="1" applyBorder="1" applyAlignment="1">
      <alignment horizontal="center" vertical="center"/>
    </xf>
    <xf numFmtId="0" fontId="19" fillId="0" borderId="0" xfId="0" applyFont="1"/>
    <xf numFmtId="0" fontId="6" fillId="12" borderId="32"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12" borderId="33" xfId="0" applyFont="1" applyFill="1" applyBorder="1" applyAlignment="1">
      <alignment horizontal="right" vertical="center"/>
    </xf>
    <xf numFmtId="182" fontId="2" fillId="5" borderId="34" xfId="0" applyNumberFormat="1" applyFont="1" applyFill="1" applyBorder="1" applyAlignment="1">
      <alignment horizontal="center" vertical="center"/>
    </xf>
    <xf numFmtId="176" fontId="6" fillId="0" borderId="1" xfId="0" applyNumberFormat="1" applyFont="1" applyBorder="1" applyAlignment="1">
      <alignment horizontal="right" vertical="center"/>
    </xf>
    <xf numFmtId="0" fontId="9" fillId="0" borderId="0" xfId="0" applyFont="1" applyAlignment="1">
      <alignment vertical="center"/>
    </xf>
    <xf numFmtId="14" fontId="6" fillId="0" borderId="1" xfId="0" applyNumberFormat="1" applyFont="1" applyBorder="1" applyAlignment="1">
      <alignment horizontal="right" vertical="center"/>
    </xf>
    <xf numFmtId="0" fontId="20" fillId="4" borderId="1" xfId="0" applyFont="1" applyFill="1" applyBorder="1" applyAlignment="1">
      <alignment horizontal="left" vertical="center" wrapText="1"/>
    </xf>
    <xf numFmtId="0" fontId="6" fillId="0" borderId="0" xfId="0" applyFont="1" applyAlignment="1">
      <alignment horizontal="left" vertical="center" wrapText="1"/>
    </xf>
    <xf numFmtId="3" fontId="6" fillId="0" borderId="0" xfId="0" applyNumberFormat="1" applyFont="1" applyAlignment="1">
      <alignment horizontal="right" vertical="center"/>
    </xf>
    <xf numFmtId="0" fontId="6" fillId="0" borderId="1" xfId="0" applyFont="1" applyBorder="1" applyAlignment="1">
      <alignment horizontal="right" vertical="center"/>
    </xf>
    <xf numFmtId="177" fontId="6" fillId="0" borderId="0" xfId="0" applyNumberFormat="1" applyFont="1" applyAlignment="1">
      <alignment horizontal="right" vertical="center"/>
    </xf>
    <xf numFmtId="3" fontId="6" fillId="7" borderId="1" xfId="0" applyNumberFormat="1" applyFont="1" applyFill="1" applyBorder="1" applyAlignment="1">
      <alignment horizontal="right" vertical="center"/>
    </xf>
    <xf numFmtId="0" fontId="21" fillId="0" borderId="1" xfId="0" applyFont="1" applyBorder="1" applyAlignment="1">
      <alignment horizontal="right" vertical="center" wrapText="1"/>
    </xf>
    <xf numFmtId="0" fontId="21" fillId="0" borderId="1" xfId="0" applyFont="1" applyBorder="1" applyAlignment="1">
      <alignment horizontal="center" vertical="center" wrapText="1"/>
    </xf>
    <xf numFmtId="1" fontId="21" fillId="0" borderId="1" xfId="0" applyNumberFormat="1" applyFont="1" applyBorder="1" applyAlignment="1">
      <alignment horizontal="center" vertical="center" wrapText="1"/>
    </xf>
    <xf numFmtId="3" fontId="21" fillId="0" borderId="1" xfId="0" applyNumberFormat="1" applyFont="1" applyBorder="1" applyAlignment="1">
      <alignment horizontal="right" vertical="center"/>
    </xf>
    <xf numFmtId="176"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vertical="center"/>
      <protection locked="0"/>
    </xf>
    <xf numFmtId="3" fontId="6" fillId="3" borderId="1" xfId="0" applyNumberFormat="1" applyFont="1" applyFill="1" applyBorder="1" applyAlignment="1" applyProtection="1">
      <alignment vertical="center"/>
      <protection locked="0"/>
    </xf>
    <xf numFmtId="0" fontId="16" fillId="0" borderId="0" xfId="2" applyFont="1" applyAlignment="1" applyProtection="1">
      <alignment vertical="center"/>
      <protection locked="0"/>
    </xf>
    <xf numFmtId="0" fontId="15" fillId="0" borderId="0" xfId="2" applyAlignment="1" applyProtection="1">
      <alignment vertical="center"/>
      <protection locked="0"/>
    </xf>
    <xf numFmtId="0" fontId="15" fillId="0" borderId="0" xfId="2" applyAlignment="1" applyProtection="1">
      <alignment vertical="center"/>
    </xf>
    <xf numFmtId="0" fontId="6" fillId="0" borderId="0" xfId="0" applyFont="1" applyAlignment="1" applyProtection="1">
      <alignment vertical="center"/>
      <protection locked="0"/>
    </xf>
    <xf numFmtId="0" fontId="6" fillId="3" borderId="35" xfId="0" applyFont="1" applyFill="1" applyBorder="1" applyAlignment="1" applyProtection="1">
      <alignment horizontal="center" vertical="center"/>
      <protection locked="0"/>
    </xf>
    <xf numFmtId="183" fontId="6" fillId="8" borderId="1" xfId="0" applyNumberFormat="1" applyFont="1" applyFill="1" applyBorder="1" applyAlignment="1">
      <alignment horizontal="center" vertical="center"/>
    </xf>
    <xf numFmtId="0" fontId="6" fillId="0" borderId="26"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9" borderId="2" xfId="0" applyFont="1" applyFill="1" applyBorder="1" applyAlignment="1">
      <alignment horizontal="center" vertical="center"/>
    </xf>
    <xf numFmtId="0" fontId="6" fillId="9" borderId="6" xfId="0" applyFont="1" applyFill="1" applyBorder="1" applyAlignment="1">
      <alignment horizontal="center" vertical="center"/>
    </xf>
    <xf numFmtId="0" fontId="6" fillId="9" borderId="14"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4"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7" xfId="0" applyFont="1" applyFill="1" applyBorder="1" applyAlignment="1">
      <alignment horizontal="center" vertical="center"/>
    </xf>
    <xf numFmtId="0" fontId="6" fillId="10" borderId="0" xfId="0" applyFont="1" applyFill="1" applyAlignment="1">
      <alignment horizontal="center" vertical="center"/>
    </xf>
    <xf numFmtId="0" fontId="6" fillId="10" borderId="8" xfId="0" applyFont="1" applyFill="1" applyBorder="1" applyAlignment="1">
      <alignment horizontal="center" vertical="center"/>
    </xf>
    <xf numFmtId="0" fontId="6" fillId="10" borderId="9" xfId="0" applyFont="1" applyFill="1" applyBorder="1" applyAlignment="1">
      <alignment horizontal="center" vertical="center"/>
    </xf>
    <xf numFmtId="0" fontId="6" fillId="10" borderId="10" xfId="0" applyFont="1" applyFill="1" applyBorder="1" applyAlignment="1">
      <alignment horizontal="center" vertical="center"/>
    </xf>
    <xf numFmtId="0" fontId="6" fillId="10" borderId="11" xfId="0" applyFont="1" applyFill="1" applyBorder="1" applyAlignment="1">
      <alignment horizontal="center" vertical="center"/>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9" xfId="0" applyFont="1" applyFill="1" applyBorder="1" applyAlignment="1">
      <alignment horizontal="center" vertical="center"/>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7" xfId="0" applyFont="1" applyFill="1" applyBorder="1" applyAlignment="1">
      <alignment horizontal="center" vertical="center"/>
    </xf>
    <xf numFmtId="0" fontId="6" fillId="11" borderId="0" xfId="0" applyFont="1" applyFill="1" applyAlignment="1">
      <alignment horizontal="center" vertical="center"/>
    </xf>
    <xf numFmtId="0" fontId="6" fillId="11" borderId="12" xfId="0" applyFont="1" applyFill="1" applyBorder="1" applyAlignment="1">
      <alignment horizontal="center" vertical="center"/>
    </xf>
    <xf numFmtId="0" fontId="6" fillId="11" borderId="15" xfId="0" applyFont="1" applyFill="1" applyBorder="1" applyAlignment="1">
      <alignment horizontal="center" vertical="center"/>
    </xf>
    <xf numFmtId="0" fontId="6" fillId="11" borderId="13"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8" xfId="0" applyFont="1" applyFill="1" applyBorder="1" applyAlignment="1">
      <alignment horizontal="center" vertical="center"/>
    </xf>
    <xf numFmtId="0" fontId="6" fillId="0" borderId="22" xfId="0" applyFont="1" applyBorder="1" applyAlignment="1">
      <alignment horizontal="left" vertical="center"/>
    </xf>
    <xf numFmtId="0" fontId="6" fillId="0" borderId="25" xfId="0" applyFont="1" applyBorder="1" applyAlignment="1">
      <alignment horizontal="left" vertical="center"/>
    </xf>
    <xf numFmtId="0" fontId="6" fillId="8" borderId="27" xfId="0" applyFont="1" applyFill="1" applyBorder="1" applyAlignment="1">
      <alignment horizontal="left" vertical="center"/>
    </xf>
    <xf numFmtId="0" fontId="6" fillId="8" borderId="28" xfId="0" applyFont="1" applyFill="1" applyBorder="1" applyAlignment="1">
      <alignment horizontal="left" vertical="center"/>
    </xf>
    <xf numFmtId="0" fontId="6" fillId="8" borderId="29" xfId="0" applyFont="1" applyFill="1" applyBorder="1" applyAlignment="1">
      <alignment horizontal="left" vertical="center"/>
    </xf>
    <xf numFmtId="0" fontId="6" fillId="8" borderId="30" xfId="0" applyFont="1" applyFill="1" applyBorder="1" applyAlignment="1">
      <alignment horizontal="left" vertical="center"/>
    </xf>
    <xf numFmtId="0" fontId="6" fillId="8" borderId="31" xfId="0" applyFont="1" applyFill="1" applyBorder="1" applyAlignment="1">
      <alignment horizontal="left" vertical="center"/>
    </xf>
    <xf numFmtId="0" fontId="6" fillId="8" borderId="22" xfId="0" applyFont="1" applyFill="1" applyBorder="1" applyAlignment="1">
      <alignment horizontal="left" vertical="center"/>
    </xf>
    <xf numFmtId="0" fontId="6" fillId="8" borderId="23" xfId="0" applyFont="1" applyFill="1" applyBorder="1" applyAlignment="1">
      <alignment horizontal="left" vertical="center"/>
    </xf>
    <xf numFmtId="0" fontId="6" fillId="8" borderId="25" xfId="0" applyFont="1" applyFill="1" applyBorder="1" applyAlignment="1">
      <alignment horizontal="left" vertical="center"/>
    </xf>
    <xf numFmtId="0" fontId="6" fillId="8" borderId="26" xfId="0" applyFont="1" applyFill="1" applyBorder="1" applyAlignment="1">
      <alignment horizontal="left" vertical="center"/>
    </xf>
    <xf numFmtId="0" fontId="6" fillId="8" borderId="24" xfId="0" applyFont="1" applyFill="1" applyBorder="1" applyAlignment="1">
      <alignment horizontal="left"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7" borderId="2"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14" xfId="0" applyFont="1" applyFill="1" applyBorder="1" applyAlignment="1">
      <alignment horizontal="center" vertical="center"/>
    </xf>
    <xf numFmtId="3" fontId="6" fillId="8" borderId="22" xfId="0" applyNumberFormat="1" applyFont="1" applyFill="1" applyBorder="1" applyAlignment="1">
      <alignment horizontal="left" vertical="center"/>
    </xf>
    <xf numFmtId="3" fontId="6" fillId="8" borderId="23" xfId="0" applyNumberFormat="1" applyFont="1" applyFill="1" applyBorder="1" applyAlignment="1">
      <alignment horizontal="left" vertical="center"/>
    </xf>
    <xf numFmtId="3" fontId="6" fillId="8" borderId="25" xfId="0" applyNumberFormat="1" applyFont="1" applyFill="1" applyBorder="1" applyAlignment="1">
      <alignment horizontal="left" vertical="center"/>
    </xf>
    <xf numFmtId="3" fontId="6" fillId="0" borderId="22" xfId="0" applyNumberFormat="1" applyFont="1" applyBorder="1" applyAlignment="1">
      <alignment horizontal="left" vertical="center"/>
    </xf>
    <xf numFmtId="3" fontId="6" fillId="0" borderId="23" xfId="0" applyNumberFormat="1" applyFont="1" applyBorder="1" applyAlignment="1">
      <alignment horizontal="left" vertical="center"/>
    </xf>
    <xf numFmtId="3" fontId="6" fillId="0" borderId="25" xfId="0" applyNumberFormat="1" applyFont="1" applyBorder="1" applyAlignment="1">
      <alignment horizontal="left" vertical="center"/>
    </xf>
  </cellXfs>
  <cellStyles count="3">
    <cellStyle name="パーセント" xfId="1" builtinId="5"/>
    <cellStyle name="ハイパーリンク" xfId="2"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240526</xdr:colOff>
      <xdr:row>51</xdr:row>
      <xdr:rowOff>85725</xdr:rowOff>
    </xdr:from>
    <xdr:to>
      <xdr:col>4</xdr:col>
      <xdr:colOff>682686</xdr:colOff>
      <xdr:row>96</xdr:row>
      <xdr:rowOff>6973</xdr:rowOff>
    </xdr:to>
    <xdr:pic>
      <xdr:nvPicPr>
        <xdr:cNvPr id="7" name="図 6">
          <a:extLst>
            <a:ext uri="{FF2B5EF4-FFF2-40B4-BE49-F238E27FC236}">
              <a16:creationId xmlns:a16="http://schemas.microsoft.com/office/drawing/2014/main" id="{23525927-C5D4-471D-9495-2E70156F66D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88" t="1886" r="778"/>
        <a:stretch/>
      </xdr:blipFill>
      <xdr:spPr bwMode="auto">
        <a:xfrm>
          <a:off x="240526" y="12477750"/>
          <a:ext cx="4242635" cy="63537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685800</xdr:colOff>
      <xdr:row>71</xdr:row>
      <xdr:rowOff>46337</xdr:rowOff>
    </xdr:from>
    <xdr:to>
      <xdr:col>14</xdr:col>
      <xdr:colOff>501650</xdr:colOff>
      <xdr:row>96</xdr:row>
      <xdr:rowOff>31324</xdr:rowOff>
    </xdr:to>
    <xdr:pic>
      <xdr:nvPicPr>
        <xdr:cNvPr id="12" name="図 11">
          <a:extLst>
            <a:ext uri="{FF2B5EF4-FFF2-40B4-BE49-F238E27FC236}">
              <a16:creationId xmlns:a16="http://schemas.microsoft.com/office/drawing/2014/main" id="{5A49DF44-EE53-4DE5-AE39-600341109D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34125" y="15295862"/>
          <a:ext cx="5305425" cy="3553687"/>
        </a:xfrm>
        <a:prstGeom prst="rect">
          <a:avLst/>
        </a:prstGeom>
        <a:ln w="9525" cap="sq">
          <a:solidFill>
            <a:schemeClr val="tx1"/>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57</xdr:row>
      <xdr:rowOff>101600</xdr:rowOff>
    </xdr:from>
    <xdr:to>
      <xdr:col>3</xdr:col>
      <xdr:colOff>158750</xdr:colOff>
      <xdr:row>61</xdr:row>
      <xdr:rowOff>53975</xdr:rowOff>
    </xdr:to>
    <xdr:sp macro="" textlink="">
      <xdr:nvSpPr>
        <xdr:cNvPr id="13" name="四角形: 角を丸くする 12">
          <a:extLst>
            <a:ext uri="{FF2B5EF4-FFF2-40B4-BE49-F238E27FC236}">
              <a16:creationId xmlns:a16="http://schemas.microsoft.com/office/drawing/2014/main" id="{1924C6BB-2CCF-856D-7F10-EA61D520A114}"/>
            </a:ext>
          </a:extLst>
        </xdr:cNvPr>
        <xdr:cNvSpPr/>
      </xdr:nvSpPr>
      <xdr:spPr>
        <a:xfrm>
          <a:off x="1914525" y="13350875"/>
          <a:ext cx="1120775" cy="52387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58468</xdr:colOff>
      <xdr:row>51</xdr:row>
      <xdr:rowOff>47624</xdr:rowOff>
    </xdr:from>
    <xdr:to>
      <xdr:col>15</xdr:col>
      <xdr:colOff>545937</xdr:colOff>
      <xdr:row>71</xdr:row>
      <xdr:rowOff>25400</xdr:rowOff>
    </xdr:to>
    <xdr:pic>
      <xdr:nvPicPr>
        <xdr:cNvPr id="14" name="図 13">
          <a:extLst>
            <a:ext uri="{FF2B5EF4-FFF2-40B4-BE49-F238E27FC236}">
              <a16:creationId xmlns:a16="http://schemas.microsoft.com/office/drawing/2014/main" id="{E4E3DF35-C8FF-4304-85A7-F046A81086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06793" y="12439649"/>
          <a:ext cx="6580294" cy="2838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180975</xdr:colOff>
      <xdr:row>76</xdr:row>
      <xdr:rowOff>111125</xdr:rowOff>
    </xdr:from>
    <xdr:to>
      <xdr:col>11</xdr:col>
      <xdr:colOff>396875</xdr:colOff>
      <xdr:row>82</xdr:row>
      <xdr:rowOff>73025</xdr:rowOff>
    </xdr:to>
    <xdr:sp macro="" textlink="">
      <xdr:nvSpPr>
        <xdr:cNvPr id="15" name="四角形: 角を丸くする 14">
          <a:extLst>
            <a:ext uri="{FF2B5EF4-FFF2-40B4-BE49-F238E27FC236}">
              <a16:creationId xmlns:a16="http://schemas.microsoft.com/office/drawing/2014/main" id="{1DC6269E-EBFE-410B-A0D9-27FEBCACB3D8}"/>
            </a:ext>
          </a:extLst>
        </xdr:cNvPr>
        <xdr:cNvSpPr/>
      </xdr:nvSpPr>
      <xdr:spPr>
        <a:xfrm>
          <a:off x="7677150" y="16075025"/>
          <a:ext cx="2025650" cy="8191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212724</xdr:colOff>
      <xdr:row>101</xdr:row>
      <xdr:rowOff>85725</xdr:rowOff>
    </xdr:from>
    <xdr:to>
      <xdr:col>4</xdr:col>
      <xdr:colOff>666749</xdr:colOff>
      <xdr:row>143</xdr:row>
      <xdr:rowOff>112779</xdr:rowOff>
    </xdr:to>
    <xdr:pic>
      <xdr:nvPicPr>
        <xdr:cNvPr id="18" name="図 17">
          <a:extLst>
            <a:ext uri="{FF2B5EF4-FFF2-40B4-BE49-F238E27FC236}">
              <a16:creationId xmlns:a16="http://schemas.microsoft.com/office/drawing/2014/main" id="{4E2E5C3C-6738-E9DC-102E-555A4117109B}"/>
            </a:ext>
          </a:extLst>
        </xdr:cNvPr>
        <xdr:cNvPicPr>
          <a:picLocks noChangeAspect="1"/>
        </xdr:cNvPicPr>
      </xdr:nvPicPr>
      <xdr:blipFill>
        <a:blip xmlns:r="http://schemas.openxmlformats.org/officeDocument/2006/relationships" r:embed="rId4"/>
        <a:stretch>
          <a:fillRect/>
        </a:stretch>
      </xdr:blipFill>
      <xdr:spPr>
        <a:xfrm>
          <a:off x="212724" y="19621500"/>
          <a:ext cx="4254500" cy="6027804"/>
        </a:xfrm>
        <a:prstGeom prst="rect">
          <a:avLst/>
        </a:prstGeom>
        <a:ln>
          <a:solidFill>
            <a:schemeClr val="tx1"/>
          </a:solidFill>
        </a:ln>
      </xdr:spPr>
    </xdr:pic>
    <xdr:clientData/>
  </xdr:twoCellAnchor>
  <xdr:twoCellAnchor>
    <xdr:from>
      <xdr:col>0</xdr:col>
      <xdr:colOff>504825</xdr:colOff>
      <xdr:row>128</xdr:row>
      <xdr:rowOff>19050</xdr:rowOff>
    </xdr:from>
    <xdr:to>
      <xdr:col>2</xdr:col>
      <xdr:colOff>533400</xdr:colOff>
      <xdr:row>130</xdr:row>
      <xdr:rowOff>0</xdr:rowOff>
    </xdr:to>
    <xdr:sp macro="" textlink="">
      <xdr:nvSpPr>
        <xdr:cNvPr id="19" name="四角形: 角を丸くする 18">
          <a:extLst>
            <a:ext uri="{FF2B5EF4-FFF2-40B4-BE49-F238E27FC236}">
              <a16:creationId xmlns:a16="http://schemas.microsoft.com/office/drawing/2014/main" id="{CBC5DC7B-2CA9-4209-A765-5EAB86AA309F}"/>
            </a:ext>
          </a:extLst>
        </xdr:cNvPr>
        <xdr:cNvSpPr/>
      </xdr:nvSpPr>
      <xdr:spPr>
        <a:xfrm>
          <a:off x="504825" y="23412450"/>
          <a:ext cx="1943100" cy="2667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822324</xdr:colOff>
      <xdr:row>102</xdr:row>
      <xdr:rowOff>3174</xdr:rowOff>
    </xdr:from>
    <xdr:to>
      <xdr:col>6</xdr:col>
      <xdr:colOff>920750</xdr:colOff>
      <xdr:row>108</xdr:row>
      <xdr:rowOff>47625</xdr:rowOff>
    </xdr:to>
    <xdr:sp macro="" textlink="">
      <xdr:nvSpPr>
        <xdr:cNvPr id="20" name="四角形: 角を丸くする 19">
          <a:extLst>
            <a:ext uri="{FF2B5EF4-FFF2-40B4-BE49-F238E27FC236}">
              <a16:creationId xmlns:a16="http://schemas.microsoft.com/office/drawing/2014/main" id="{BEAD7511-E24E-4B1A-B297-E8395CA328B4}"/>
            </a:ext>
          </a:extLst>
        </xdr:cNvPr>
        <xdr:cNvSpPr/>
      </xdr:nvSpPr>
      <xdr:spPr>
        <a:xfrm>
          <a:off x="4622799" y="19700874"/>
          <a:ext cx="1946276" cy="901701"/>
        </a:xfrm>
        <a:prstGeom prst="round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株式等の譲渡所得等分離申告分がある方は分離課税となる各所得を別途含みます。</a:t>
          </a:r>
        </a:p>
      </xdr:txBody>
    </xdr:sp>
    <xdr:clientData/>
  </xdr:twoCellAnchor>
  <xdr:twoCellAnchor>
    <xdr:from>
      <xdr:col>7</xdr:col>
      <xdr:colOff>533402</xdr:colOff>
      <xdr:row>6</xdr:row>
      <xdr:rowOff>101600</xdr:rowOff>
    </xdr:from>
    <xdr:to>
      <xdr:col>19</xdr:col>
      <xdr:colOff>235094</xdr:colOff>
      <xdr:row>20</xdr:row>
      <xdr:rowOff>219075</xdr:rowOff>
    </xdr:to>
    <xdr:sp macro="" textlink="">
      <xdr:nvSpPr>
        <xdr:cNvPr id="3" name="正方形/長方形 2">
          <a:extLst>
            <a:ext uri="{FF2B5EF4-FFF2-40B4-BE49-F238E27FC236}">
              <a16:creationId xmlns:a16="http://schemas.microsoft.com/office/drawing/2014/main" id="{DB99831B-AD95-FC5F-5DD1-CCACE8914473}"/>
            </a:ext>
          </a:extLst>
        </xdr:cNvPr>
        <xdr:cNvSpPr/>
      </xdr:nvSpPr>
      <xdr:spPr>
        <a:xfrm>
          <a:off x="7105652" y="1111250"/>
          <a:ext cx="7312167" cy="4003675"/>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000">
              <a:solidFill>
                <a:sysClr val="windowText" lastClr="000000"/>
              </a:solidFill>
              <a:latin typeface="BIZ UDゴシック" panose="020B0400000000000000" pitchFamily="49" charset="-128"/>
              <a:ea typeface="BIZ UDゴシック" panose="020B0400000000000000" pitchFamily="49" charset="-128"/>
            </a:rPr>
            <a:t>※1 </a:t>
          </a:r>
          <a:r>
            <a:rPr lang="ja-JP" altLang="en-US" sz="1000">
              <a:solidFill>
                <a:sysClr val="windowText" lastClr="000000"/>
              </a:solidFill>
              <a:latin typeface="BIZ UDゴシック" panose="020B0400000000000000" pitchFamily="49" charset="-128"/>
              <a:ea typeface="BIZ UDゴシック" panose="020B0400000000000000" pitchFamily="49" charset="-128"/>
            </a:rPr>
            <a:t>国保加入日は「社会保険の資格喪失日」です。「社会保険の資格喪失日」は「退職日の翌日」となります。</a:t>
          </a:r>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br>
            <a:rPr lang="ja-JP" altLang="en-US" sz="1000">
              <a:solidFill>
                <a:sysClr val="windowText" lastClr="000000"/>
              </a:solidFill>
              <a:latin typeface="BIZ UDゴシック" panose="020B0400000000000000" pitchFamily="49" charset="-128"/>
              <a:ea typeface="BIZ UDゴシック" panose="020B0400000000000000" pitchFamily="49" charset="-128"/>
            </a:rPr>
          </a:br>
          <a:r>
            <a:rPr lang="en-US" altLang="ja-JP" sz="1000">
              <a:solidFill>
                <a:sysClr val="windowText" lastClr="000000"/>
              </a:solidFill>
              <a:latin typeface="BIZ UDゴシック" panose="020B0400000000000000" pitchFamily="49" charset="-128"/>
              <a:ea typeface="BIZ UDゴシック" panose="020B0400000000000000" pitchFamily="49" charset="-128"/>
            </a:rPr>
            <a:t>※2 No.1</a:t>
          </a:r>
          <a:r>
            <a:rPr lang="ja-JP" altLang="en-US" sz="1000">
              <a:solidFill>
                <a:sysClr val="windowText" lastClr="000000"/>
              </a:solidFill>
              <a:latin typeface="BIZ UDゴシック" panose="020B0400000000000000" pitchFamily="49" charset="-128"/>
              <a:ea typeface="BIZ UDゴシック" panose="020B0400000000000000" pitchFamily="49" charset="-128"/>
            </a:rPr>
            <a:t>の欄は世帯主の情報を入力してください。国保に加入しない場合でも、保険料の均等割額減額世帯の判定をするため、</a:t>
          </a:r>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lang="ja-JP" altLang="en-US" sz="1000">
              <a:solidFill>
                <a:sysClr val="windowText" lastClr="000000"/>
              </a:solidFill>
              <a:latin typeface="BIZ UDゴシック" panose="020B0400000000000000" pitchFamily="49" charset="-128"/>
              <a:ea typeface="BIZ UDゴシック" panose="020B0400000000000000" pitchFamily="49" charset="-128"/>
            </a:rPr>
            <a:t>　　入力が必要になります。</a:t>
          </a:r>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br>
            <a:rPr lang="ja-JP" altLang="en-US" sz="1000">
              <a:solidFill>
                <a:sysClr val="windowText" lastClr="000000"/>
              </a:solidFill>
              <a:latin typeface="BIZ UDゴシック" panose="020B0400000000000000" pitchFamily="49" charset="-128"/>
              <a:ea typeface="BIZ UDゴシック" panose="020B0400000000000000" pitchFamily="49" charset="-128"/>
            </a:rPr>
          </a:br>
          <a:r>
            <a:rPr lang="en-US" altLang="ja-JP" sz="1000">
              <a:solidFill>
                <a:sysClr val="windowText" lastClr="000000"/>
              </a:solidFill>
              <a:latin typeface="BIZ UDゴシック" panose="020B0400000000000000" pitchFamily="49" charset="-128"/>
              <a:ea typeface="BIZ UDゴシック" panose="020B0400000000000000" pitchFamily="49" charset="-128"/>
            </a:rPr>
            <a:t>※3 </a:t>
          </a:r>
          <a:r>
            <a:rPr lang="ja-JP" altLang="en-US" sz="1000">
              <a:solidFill>
                <a:sysClr val="windowText" lastClr="000000"/>
              </a:solidFill>
              <a:latin typeface="BIZ UDゴシック" panose="020B0400000000000000" pitchFamily="49" charset="-128"/>
              <a:ea typeface="BIZ UDゴシック" panose="020B0400000000000000" pitchFamily="49" charset="-128"/>
            </a:rPr>
            <a:t>国保に加入する人のみ「加入」を選択してください。</a:t>
          </a:r>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br>
            <a:rPr lang="ja-JP" altLang="en-US" sz="1000">
              <a:solidFill>
                <a:sysClr val="windowText" lastClr="000000"/>
              </a:solidFill>
              <a:latin typeface="BIZ UDゴシック" panose="020B0400000000000000" pitchFamily="49" charset="-128"/>
              <a:ea typeface="BIZ UDゴシック" panose="020B0400000000000000" pitchFamily="49" charset="-128"/>
            </a:rPr>
          </a:br>
          <a:r>
            <a:rPr lang="en-US" altLang="ja-JP" sz="1000">
              <a:solidFill>
                <a:sysClr val="windowText" lastClr="000000"/>
              </a:solidFill>
              <a:latin typeface="BIZ UDゴシック" panose="020B0400000000000000" pitchFamily="49" charset="-128"/>
              <a:ea typeface="BIZ UDゴシック" panose="020B0400000000000000" pitchFamily="49" charset="-128"/>
            </a:rPr>
            <a:t>※4 </a:t>
          </a:r>
          <a:r>
            <a:rPr lang="ja-JP" altLang="en-US" sz="1000">
              <a:solidFill>
                <a:sysClr val="windowText" lastClr="000000"/>
              </a:solidFill>
              <a:latin typeface="BIZ UDゴシック" panose="020B0400000000000000" pitchFamily="49" charset="-128"/>
              <a:ea typeface="BIZ UDゴシック" panose="020B0400000000000000" pitchFamily="49" charset="-128"/>
            </a:rPr>
            <a:t>給与所得は源泉徴収票等の「給与所得控除後の金額」を入力してください。</a:t>
          </a:r>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lang="en-US" altLang="ja-JP" sz="1000">
              <a:solidFill>
                <a:sysClr val="windowText" lastClr="000000"/>
              </a:solidFill>
              <a:latin typeface="BIZ UDゴシック" panose="020B0400000000000000" pitchFamily="49" charset="-128"/>
              <a:ea typeface="BIZ UDゴシック" panose="020B0400000000000000" pitchFamily="49" charset="-128"/>
            </a:rPr>
            <a:t>    </a:t>
          </a:r>
          <a:r>
            <a:rPr lang="ja-JP" altLang="en-US" sz="1000">
              <a:solidFill>
                <a:sysClr val="windowText" lastClr="000000"/>
              </a:solidFill>
              <a:latin typeface="BIZ UDゴシック" panose="020B0400000000000000" pitchFamily="49" charset="-128"/>
              <a:ea typeface="BIZ UDゴシック" panose="020B0400000000000000" pitchFamily="49" charset="-128"/>
            </a:rPr>
            <a:t>「給与所得控除後の金額」の確認方法は、以下「</a:t>
          </a:r>
          <a:r>
            <a:rPr lang="en-US" altLang="ja-JP" sz="1000">
              <a:solidFill>
                <a:sysClr val="windowText" lastClr="000000"/>
              </a:solidFill>
              <a:latin typeface="BIZ UDゴシック" panose="020B0400000000000000" pitchFamily="49" charset="-128"/>
              <a:ea typeface="BIZ UDゴシック" panose="020B0400000000000000" pitchFamily="49" charset="-128"/>
            </a:rPr>
            <a:t>【</a:t>
          </a:r>
          <a:r>
            <a:rPr lang="ja-JP" altLang="en-US" sz="1000">
              <a:solidFill>
                <a:sysClr val="windowText" lastClr="000000"/>
              </a:solidFill>
              <a:latin typeface="BIZ UDゴシック" panose="020B0400000000000000" pitchFamily="49" charset="-128"/>
              <a:ea typeface="BIZ UDゴシック" panose="020B0400000000000000" pitchFamily="49" charset="-128"/>
            </a:rPr>
            <a:t>参考</a:t>
          </a:r>
          <a:r>
            <a:rPr lang="en-US" altLang="ja-JP" sz="1000">
              <a:solidFill>
                <a:sysClr val="windowText" lastClr="000000"/>
              </a:solidFill>
              <a:latin typeface="BIZ UDゴシック" panose="020B0400000000000000" pitchFamily="49" charset="-128"/>
              <a:ea typeface="BIZ UDゴシック" panose="020B0400000000000000" pitchFamily="49" charset="-128"/>
            </a:rPr>
            <a:t>】</a:t>
          </a:r>
          <a:r>
            <a:rPr lang="ja-JP" altLang="en-US" sz="1000">
              <a:solidFill>
                <a:sysClr val="windowText" lastClr="000000"/>
              </a:solidFill>
              <a:latin typeface="BIZ UDゴシック" panose="020B0400000000000000" pitchFamily="49" charset="-128"/>
              <a:ea typeface="BIZ UDゴシック" panose="020B0400000000000000" pitchFamily="49" charset="-128"/>
            </a:rPr>
            <a:t>所得の確認方法について①」をご参照ください。</a:t>
          </a:r>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br>
            <a:rPr lang="ja-JP" altLang="en-US" sz="1000">
              <a:solidFill>
                <a:sysClr val="windowText" lastClr="000000"/>
              </a:solidFill>
              <a:latin typeface="BIZ UDゴシック" panose="020B0400000000000000" pitchFamily="49" charset="-128"/>
              <a:ea typeface="BIZ UDゴシック" panose="020B0400000000000000" pitchFamily="49" charset="-128"/>
            </a:rPr>
          </a:br>
          <a:r>
            <a:rPr lang="en-US" altLang="ja-JP" sz="1000">
              <a:solidFill>
                <a:sysClr val="windowText" lastClr="000000"/>
              </a:solidFill>
              <a:latin typeface="BIZ UDゴシック" panose="020B0400000000000000" pitchFamily="49" charset="-128"/>
              <a:ea typeface="BIZ UDゴシック" panose="020B0400000000000000" pitchFamily="49" charset="-128"/>
            </a:rPr>
            <a:t>※5 </a:t>
          </a:r>
          <a:r>
            <a:rPr lang="ja-JP" altLang="en-US" sz="1000">
              <a:solidFill>
                <a:sysClr val="windowText" lastClr="000000"/>
              </a:solidFill>
              <a:latin typeface="BIZ UDゴシック" panose="020B0400000000000000" pitchFamily="49" charset="-128"/>
              <a:ea typeface="BIZ UDゴシック" panose="020B0400000000000000" pitchFamily="49" charset="-128"/>
            </a:rPr>
            <a:t>公的年金等所得は以下「</a:t>
          </a:r>
          <a:r>
            <a:rPr lang="en-US" altLang="ja-JP" sz="1000">
              <a:solidFill>
                <a:sysClr val="windowText" lastClr="000000"/>
              </a:solidFill>
              <a:latin typeface="BIZ UDゴシック" panose="020B0400000000000000" pitchFamily="49" charset="-128"/>
              <a:ea typeface="BIZ UDゴシック" panose="020B0400000000000000" pitchFamily="49" charset="-128"/>
            </a:rPr>
            <a:t>【</a:t>
          </a:r>
          <a:r>
            <a:rPr lang="ja-JP" altLang="en-US" sz="1000">
              <a:solidFill>
                <a:sysClr val="windowText" lastClr="000000"/>
              </a:solidFill>
              <a:latin typeface="BIZ UDゴシック" panose="020B0400000000000000" pitchFamily="49" charset="-128"/>
              <a:ea typeface="BIZ UDゴシック" panose="020B0400000000000000" pitchFamily="49" charset="-128"/>
            </a:rPr>
            <a:t>参考</a:t>
          </a:r>
          <a:r>
            <a:rPr lang="en-US" altLang="ja-JP" sz="1000">
              <a:solidFill>
                <a:sysClr val="windowText" lastClr="000000"/>
              </a:solidFill>
              <a:latin typeface="BIZ UDゴシック" panose="020B0400000000000000" pitchFamily="49" charset="-128"/>
              <a:ea typeface="BIZ UDゴシック" panose="020B0400000000000000" pitchFamily="49" charset="-128"/>
            </a:rPr>
            <a:t>】</a:t>
          </a:r>
          <a:r>
            <a:rPr lang="ja-JP" altLang="en-US" sz="1000">
              <a:solidFill>
                <a:sysClr val="windowText" lastClr="000000"/>
              </a:solidFill>
              <a:latin typeface="BIZ UDゴシック" panose="020B0400000000000000" pitchFamily="49" charset="-128"/>
              <a:ea typeface="BIZ UDゴシック" panose="020B0400000000000000" pitchFamily="49" charset="-128"/>
            </a:rPr>
            <a:t>所得の確認方法について②」を参考に算出した額を入力してください。</a:t>
          </a:r>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lang="en-US" altLang="ja-JP" sz="1000">
              <a:solidFill>
                <a:sysClr val="windowText" lastClr="000000"/>
              </a:solidFill>
              <a:latin typeface="BIZ UDゴシック" panose="020B0400000000000000" pitchFamily="49" charset="-128"/>
              <a:ea typeface="BIZ UDゴシック" panose="020B0400000000000000" pitchFamily="49" charset="-128"/>
            </a:rPr>
            <a:t>※6 </a:t>
          </a:r>
          <a:r>
            <a:rPr lang="ja-JP" altLang="en-US" sz="1000">
              <a:solidFill>
                <a:sysClr val="windowText" lastClr="000000"/>
              </a:solidFill>
              <a:latin typeface="BIZ UDゴシック" panose="020B0400000000000000" pitchFamily="49" charset="-128"/>
              <a:ea typeface="BIZ UDゴシック" panose="020B0400000000000000" pitchFamily="49" charset="-128"/>
            </a:rPr>
            <a:t>・確定申告書の給与所得及び年金等所得以外の所得</a:t>
          </a:r>
          <a:r>
            <a:rPr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（例：事業所得、不動産所得、雑所得（年金除く）、土地建物の</a:t>
          </a:r>
          <a:endParaRPr lang="en-US" altLang="ja-JP" sz="10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長・短期譲渡所得、株式配当所得、株式譲渡所得など）</a:t>
          </a:r>
          <a:r>
            <a:rPr lang="ja-JP" altLang="en-US" sz="1000">
              <a:solidFill>
                <a:sysClr val="windowText" lastClr="000000"/>
              </a:solidFill>
              <a:latin typeface="BIZ UDゴシック" panose="020B0400000000000000" pitchFamily="49" charset="-128"/>
              <a:ea typeface="BIZ UDゴシック" panose="020B0400000000000000" pitchFamily="49" charset="-128"/>
            </a:rPr>
            <a:t>の合計金額を入力してください。</a:t>
          </a:r>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lang="ja-JP" altLang="en-US" sz="1000">
              <a:solidFill>
                <a:sysClr val="windowText" lastClr="000000"/>
              </a:solidFill>
              <a:latin typeface="BIZ UDゴシック" panose="020B0400000000000000" pitchFamily="49" charset="-128"/>
              <a:ea typeface="BIZ UDゴシック" panose="020B0400000000000000" pitchFamily="49" charset="-128"/>
            </a:rPr>
            <a:t>　　　所得の確認方法は、以下「</a:t>
          </a:r>
          <a:r>
            <a:rPr lang="en-US" altLang="ja-JP" sz="1000">
              <a:solidFill>
                <a:sysClr val="windowText" lastClr="000000"/>
              </a:solidFill>
              <a:latin typeface="BIZ UDゴシック" panose="020B0400000000000000" pitchFamily="49" charset="-128"/>
              <a:ea typeface="BIZ UDゴシック" panose="020B0400000000000000" pitchFamily="49" charset="-128"/>
            </a:rPr>
            <a:t>【</a:t>
          </a:r>
          <a:r>
            <a:rPr lang="ja-JP" altLang="en-US" sz="1000">
              <a:solidFill>
                <a:sysClr val="windowText" lastClr="000000"/>
              </a:solidFill>
              <a:latin typeface="BIZ UDゴシック" panose="020B0400000000000000" pitchFamily="49" charset="-128"/>
              <a:ea typeface="BIZ UDゴシック" panose="020B0400000000000000" pitchFamily="49" charset="-128"/>
            </a:rPr>
            <a:t>参考</a:t>
          </a:r>
          <a:r>
            <a:rPr lang="en-US" altLang="ja-JP" sz="1000">
              <a:solidFill>
                <a:sysClr val="windowText" lastClr="000000"/>
              </a:solidFill>
              <a:latin typeface="BIZ UDゴシック" panose="020B0400000000000000" pitchFamily="49" charset="-128"/>
              <a:ea typeface="BIZ UDゴシック" panose="020B0400000000000000" pitchFamily="49" charset="-128"/>
            </a:rPr>
            <a:t>】</a:t>
          </a:r>
          <a:r>
            <a:rPr lang="ja-JP" altLang="en-US" sz="1000">
              <a:solidFill>
                <a:sysClr val="windowText" lastClr="000000"/>
              </a:solidFill>
              <a:latin typeface="BIZ UDゴシック" panose="020B0400000000000000" pitchFamily="49" charset="-128"/>
              <a:ea typeface="BIZ UDゴシック" panose="020B0400000000000000" pitchFamily="49" charset="-128"/>
            </a:rPr>
            <a:t>所得の確認方法について③」をご参照ください。</a:t>
          </a:r>
          <a:br>
            <a:rPr lang="ja-JP" altLang="en-US" sz="1000">
              <a:solidFill>
                <a:sysClr val="windowText" lastClr="000000"/>
              </a:solidFill>
              <a:latin typeface="BIZ UDゴシック" panose="020B0400000000000000" pitchFamily="49" charset="-128"/>
              <a:ea typeface="BIZ UDゴシック" panose="020B0400000000000000" pitchFamily="49" charset="-128"/>
            </a:rPr>
          </a:br>
          <a:r>
            <a:rPr lang="ja-JP" altLang="en-US" sz="1000">
              <a:solidFill>
                <a:sysClr val="windowText" lastClr="000000"/>
              </a:solidFill>
              <a:latin typeface="BIZ UDゴシック" panose="020B0400000000000000" pitchFamily="49" charset="-128"/>
              <a:ea typeface="BIZ UDゴシック" panose="020B0400000000000000" pitchFamily="49" charset="-128"/>
            </a:rPr>
            <a:t>    ・株式等の取引の際、源泉徴収ありの特定口座を選択し、確定申告をしなかった場合の株式等の所得は算定対象に含</a:t>
          </a:r>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lang="ja-JP" altLang="en-US" sz="1000">
              <a:solidFill>
                <a:sysClr val="windowText" lastClr="000000"/>
              </a:solidFill>
              <a:latin typeface="BIZ UDゴシック" panose="020B0400000000000000" pitchFamily="49" charset="-128"/>
              <a:ea typeface="BIZ UDゴシック" panose="020B0400000000000000" pitchFamily="49" charset="-128"/>
            </a:rPr>
            <a:t>　　　みません。</a:t>
          </a:r>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lang="ja-JP" altLang="en-US" sz="1000">
              <a:solidFill>
                <a:sysClr val="windowText" lastClr="000000"/>
              </a:solidFill>
              <a:latin typeface="BIZ UDゴシック" panose="020B0400000000000000" pitchFamily="49" charset="-128"/>
              <a:ea typeface="BIZ UDゴシック" panose="020B0400000000000000" pitchFamily="49" charset="-128"/>
            </a:rPr>
            <a:t>　　・遺族年金、障害年金、老齢福祉年金等の非課税所得は、国保の総所得金額等に含みません。</a:t>
          </a:r>
          <a:br>
            <a:rPr lang="ja-JP" altLang="en-US" sz="1000">
              <a:solidFill>
                <a:sysClr val="windowText" lastClr="000000"/>
              </a:solidFill>
              <a:latin typeface="BIZ UDゴシック" panose="020B0400000000000000" pitchFamily="49" charset="-128"/>
              <a:ea typeface="BIZ UDゴシック" panose="020B0400000000000000" pitchFamily="49" charset="-128"/>
            </a:rPr>
          </a:br>
          <a:r>
            <a:rPr lang="ja-JP" altLang="en-US" sz="1000">
              <a:solidFill>
                <a:sysClr val="windowText" lastClr="000000"/>
              </a:solidFill>
              <a:latin typeface="BIZ UDゴシック" panose="020B0400000000000000" pitchFamily="49" charset="-128"/>
              <a:ea typeface="BIZ UDゴシック" panose="020B0400000000000000" pitchFamily="49" charset="-128"/>
            </a:rPr>
            <a:t>    ・繰越損失等がある場合は、その控除後の金額が算定対象となります（ただし雑損失を除く）。</a:t>
          </a:r>
          <a:br>
            <a:rPr lang="ja-JP" altLang="en-US" sz="1000">
              <a:solidFill>
                <a:sysClr val="windowText" lastClr="000000"/>
              </a:solidFill>
              <a:latin typeface="BIZ UDゴシック" panose="020B0400000000000000" pitchFamily="49" charset="-128"/>
              <a:ea typeface="BIZ UDゴシック" panose="020B0400000000000000" pitchFamily="49" charset="-128"/>
            </a:rPr>
          </a:br>
          <a:br>
            <a:rPr lang="ja-JP" altLang="en-US" sz="1000">
              <a:solidFill>
                <a:sysClr val="windowText" lastClr="000000"/>
              </a:solidFill>
              <a:latin typeface="BIZ UDゴシック" panose="020B0400000000000000" pitchFamily="49" charset="-128"/>
              <a:ea typeface="BIZ UDゴシック" panose="020B0400000000000000" pitchFamily="49" charset="-128"/>
            </a:rPr>
          </a:br>
          <a:r>
            <a:rPr lang="en-US" altLang="ja-JP" sz="1000">
              <a:solidFill>
                <a:sysClr val="windowText" lastClr="000000"/>
              </a:solidFill>
              <a:latin typeface="BIZ UDゴシック" panose="020B0400000000000000" pitchFamily="49" charset="-128"/>
              <a:ea typeface="BIZ UDゴシック" panose="020B0400000000000000" pitchFamily="49" charset="-128"/>
            </a:rPr>
            <a:t>※7 64</a:t>
          </a:r>
          <a:r>
            <a:rPr lang="ja-JP" altLang="en-US" sz="1000">
              <a:solidFill>
                <a:sysClr val="windowText" lastClr="000000"/>
              </a:solidFill>
              <a:latin typeface="BIZ UDゴシック" panose="020B0400000000000000" pitchFamily="49" charset="-128"/>
              <a:ea typeface="BIZ UDゴシック" panose="020B0400000000000000" pitchFamily="49" charset="-128"/>
            </a:rPr>
            <a:t>歳以下の方が会社都合で失業した場合、「はい」を選択してください。その方の給与所得を</a:t>
          </a:r>
          <a:r>
            <a:rPr lang="en-US" altLang="ja-JP" sz="1000">
              <a:solidFill>
                <a:sysClr val="windowText" lastClr="000000"/>
              </a:solidFill>
              <a:latin typeface="BIZ UDゴシック" panose="020B0400000000000000" pitchFamily="49" charset="-128"/>
              <a:ea typeface="BIZ UDゴシック" panose="020B0400000000000000" pitchFamily="49" charset="-128"/>
            </a:rPr>
            <a:t>30/100</a:t>
          </a:r>
          <a:r>
            <a:rPr lang="ja-JP" altLang="en-US" sz="1000">
              <a:solidFill>
                <a:sysClr val="windowText" lastClr="000000"/>
              </a:solidFill>
              <a:latin typeface="BIZ UDゴシック" panose="020B0400000000000000" pitchFamily="49" charset="-128"/>
              <a:ea typeface="BIZ UDゴシック" panose="020B0400000000000000" pitchFamily="49" charset="-128"/>
            </a:rPr>
            <a:t>にして保険料</a:t>
          </a:r>
          <a:endParaRPr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l"/>
          <a:r>
            <a:rPr lang="ja-JP" altLang="en-US" sz="1000">
              <a:solidFill>
                <a:sysClr val="windowText" lastClr="000000"/>
              </a:solidFill>
              <a:latin typeface="BIZ UDゴシック" panose="020B0400000000000000" pitchFamily="49" charset="-128"/>
              <a:ea typeface="BIZ UDゴシック" panose="020B0400000000000000" pitchFamily="49" charset="-128"/>
            </a:rPr>
            <a:t>　　を算出します。なお、この制度の適用には申請が必要です。詳細は以下区ホームページをご確認ください</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533402</xdr:colOff>
      <xdr:row>24</xdr:row>
      <xdr:rowOff>19049</xdr:rowOff>
    </xdr:from>
    <xdr:to>
      <xdr:col>19</xdr:col>
      <xdr:colOff>238126</xdr:colOff>
      <xdr:row>43</xdr:row>
      <xdr:rowOff>6350</xdr:rowOff>
    </xdr:to>
    <xdr:sp macro="" textlink="">
      <xdr:nvSpPr>
        <xdr:cNvPr id="5" name="正方形/長方形 4">
          <a:extLst>
            <a:ext uri="{FF2B5EF4-FFF2-40B4-BE49-F238E27FC236}">
              <a16:creationId xmlns:a16="http://schemas.microsoft.com/office/drawing/2014/main" id="{98DE79AB-719A-435D-CE49-8C70F6F5F5DC}"/>
            </a:ext>
          </a:extLst>
        </xdr:cNvPr>
        <xdr:cNvSpPr/>
      </xdr:nvSpPr>
      <xdr:spPr>
        <a:xfrm>
          <a:off x="7105652" y="5676899"/>
          <a:ext cx="7315199" cy="50546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000">
              <a:solidFill>
                <a:schemeClr val="tx1"/>
              </a:solidFill>
              <a:latin typeface="BIZ UDゴシック" panose="020B0400000000000000" pitchFamily="49" charset="-128"/>
              <a:ea typeface="BIZ UDゴシック" panose="020B0400000000000000" pitchFamily="49" charset="-128"/>
            </a:rPr>
            <a:t>※1 </a:t>
          </a:r>
          <a:r>
            <a:rPr lang="ja-JP" altLang="en-US" sz="1000">
              <a:solidFill>
                <a:schemeClr val="tx1"/>
              </a:solidFill>
              <a:latin typeface="BIZ UDゴシック" panose="020B0400000000000000" pitchFamily="49" charset="-128"/>
              <a:ea typeface="BIZ UDゴシック" panose="020B0400000000000000" pitchFamily="49" charset="-128"/>
            </a:rPr>
            <a:t>・本表の結果はあくまで試算です。実際の保険料（請求額）とは異なる場合があります。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en-US" altLang="ja-JP" sz="1000">
              <a:solidFill>
                <a:schemeClr val="tx1"/>
              </a:solidFill>
              <a:latin typeface="BIZ UDゴシック" panose="020B0400000000000000" pitchFamily="49" charset="-128"/>
              <a:ea typeface="BIZ UDゴシック" panose="020B0400000000000000" pitchFamily="49" charset="-128"/>
            </a:rPr>
            <a:t>    </a:t>
          </a:r>
          <a:r>
            <a:rPr lang="ja-JP" altLang="en-US" sz="1000">
              <a:solidFill>
                <a:schemeClr val="tx1"/>
              </a:solidFill>
              <a:latin typeface="BIZ UDゴシック" panose="020B0400000000000000" pitchFamily="49" charset="-128"/>
              <a:ea typeface="BIZ UDゴシック" panose="020B0400000000000000" pitchFamily="49" charset="-128"/>
            </a:rPr>
            <a:t>・実際の納付額は、加入の届出日によって異なります。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a:t>
          </a:r>
          <a:r>
            <a:rPr lang="en-US" altLang="ja-JP" sz="1000">
              <a:solidFill>
                <a:schemeClr val="tx1"/>
              </a:solidFill>
              <a:latin typeface="BIZ UDゴシック" panose="020B0400000000000000" pitchFamily="49" charset="-128"/>
              <a:ea typeface="BIZ UDゴシック" panose="020B0400000000000000" pitchFamily="49" charset="-128"/>
            </a:rPr>
            <a:t>5</a:t>
          </a:r>
          <a:r>
            <a:rPr lang="ja-JP" altLang="en-US" sz="1000">
              <a:solidFill>
                <a:schemeClr val="tx1"/>
              </a:solidFill>
              <a:latin typeface="BIZ UDゴシック" panose="020B0400000000000000" pitchFamily="49" charset="-128"/>
              <a:ea typeface="BIZ UDゴシック" panose="020B0400000000000000" pitchFamily="49" charset="-128"/>
            </a:rPr>
            <a:t>月末までに加入の届出をした方は、</a:t>
          </a:r>
          <a:r>
            <a:rPr lang="en-US" altLang="ja-JP" sz="1000">
              <a:solidFill>
                <a:schemeClr val="tx1"/>
              </a:solidFill>
              <a:latin typeface="BIZ UDゴシック" panose="020B0400000000000000" pitchFamily="49" charset="-128"/>
              <a:ea typeface="BIZ UDゴシック" panose="020B0400000000000000" pitchFamily="49" charset="-128"/>
            </a:rPr>
            <a:t>6</a:t>
          </a:r>
          <a:r>
            <a:rPr lang="ja-JP" altLang="en-US" sz="1000">
              <a:solidFill>
                <a:schemeClr val="tx1"/>
              </a:solidFill>
              <a:latin typeface="BIZ UDゴシック" panose="020B0400000000000000" pitchFamily="49" charset="-128"/>
              <a:ea typeface="BIZ UDゴシック" panose="020B0400000000000000" pitchFamily="49" charset="-128"/>
            </a:rPr>
            <a:t>月から翌年</a:t>
          </a:r>
          <a:r>
            <a:rPr lang="en-US" altLang="ja-JP" sz="1000">
              <a:solidFill>
                <a:schemeClr val="tx1"/>
              </a:solidFill>
              <a:latin typeface="BIZ UDゴシック" panose="020B0400000000000000" pitchFamily="49" charset="-128"/>
              <a:ea typeface="BIZ UDゴシック" panose="020B0400000000000000" pitchFamily="49" charset="-128"/>
            </a:rPr>
            <a:t>3</a:t>
          </a:r>
          <a:r>
            <a:rPr lang="ja-JP" altLang="en-US" sz="1000">
              <a:solidFill>
                <a:schemeClr val="tx1"/>
              </a:solidFill>
              <a:latin typeface="BIZ UDゴシック" panose="020B0400000000000000" pitchFamily="49" charset="-128"/>
              <a:ea typeface="BIZ UDゴシック" panose="020B0400000000000000" pitchFamily="49" charset="-128"/>
            </a:rPr>
            <a:t>月までの</a:t>
          </a:r>
          <a:r>
            <a:rPr lang="en-US" altLang="ja-JP" sz="1000">
              <a:solidFill>
                <a:schemeClr val="tx1"/>
              </a:solidFill>
              <a:latin typeface="BIZ UDゴシック" panose="020B0400000000000000" pitchFamily="49" charset="-128"/>
              <a:ea typeface="BIZ UDゴシック" panose="020B0400000000000000" pitchFamily="49" charset="-128"/>
            </a:rPr>
            <a:t>10</a:t>
          </a:r>
          <a:r>
            <a:rPr lang="ja-JP" altLang="en-US" sz="1000">
              <a:solidFill>
                <a:schemeClr val="tx1"/>
              </a:solidFill>
              <a:latin typeface="BIZ UDゴシック" panose="020B0400000000000000" pitchFamily="49" charset="-128"/>
              <a:ea typeface="BIZ UDゴシック" panose="020B0400000000000000" pitchFamily="49" charset="-128"/>
            </a:rPr>
            <a:t>回に分けて納付していただきます。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a:t>
          </a:r>
          <a:r>
            <a:rPr lang="en-US" altLang="ja-JP" sz="1000">
              <a:solidFill>
                <a:schemeClr val="tx1"/>
              </a:solidFill>
              <a:latin typeface="BIZ UDゴシック" panose="020B0400000000000000" pitchFamily="49" charset="-128"/>
              <a:ea typeface="BIZ UDゴシック" panose="020B0400000000000000" pitchFamily="49" charset="-128"/>
            </a:rPr>
            <a:t>6</a:t>
          </a:r>
          <a:r>
            <a:rPr lang="ja-JP" altLang="en-US" sz="1000">
              <a:solidFill>
                <a:schemeClr val="tx1"/>
              </a:solidFill>
              <a:latin typeface="BIZ UDゴシック" panose="020B0400000000000000" pitchFamily="49" charset="-128"/>
              <a:ea typeface="BIZ UDゴシック" panose="020B0400000000000000" pitchFamily="49" charset="-128"/>
            </a:rPr>
            <a:t>月以降に届出をした方は、届出の翌月から翌</a:t>
          </a:r>
          <a:r>
            <a:rPr lang="en-US" altLang="ja-JP" sz="1000">
              <a:solidFill>
                <a:schemeClr val="tx1"/>
              </a:solidFill>
              <a:latin typeface="BIZ UDゴシック" panose="020B0400000000000000" pitchFamily="49" charset="-128"/>
              <a:ea typeface="BIZ UDゴシック" panose="020B0400000000000000" pitchFamily="49" charset="-128"/>
            </a:rPr>
            <a:t>3</a:t>
          </a:r>
          <a:r>
            <a:rPr lang="ja-JP" altLang="en-US" sz="1000">
              <a:solidFill>
                <a:schemeClr val="tx1"/>
              </a:solidFill>
              <a:latin typeface="BIZ UDゴシック" panose="020B0400000000000000" pitchFamily="49" charset="-128"/>
              <a:ea typeface="BIZ UDゴシック" panose="020B0400000000000000" pitchFamily="49" charset="-128"/>
            </a:rPr>
            <a:t>月までの回数に分けて納付していただきます。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そのため、届出が遅れた場合、</a:t>
          </a:r>
          <a:r>
            <a:rPr lang="en-US" altLang="ja-JP" sz="1000">
              <a:solidFill>
                <a:schemeClr val="tx1"/>
              </a:solidFill>
              <a:latin typeface="BIZ UDゴシック" panose="020B0400000000000000" pitchFamily="49" charset="-128"/>
              <a:ea typeface="BIZ UDゴシック" panose="020B0400000000000000" pitchFamily="49" charset="-128"/>
            </a:rPr>
            <a:t>1</a:t>
          </a:r>
          <a:r>
            <a:rPr lang="ja-JP" altLang="en-US" sz="1000">
              <a:solidFill>
                <a:schemeClr val="tx1"/>
              </a:solidFill>
              <a:latin typeface="BIZ UDゴシック" panose="020B0400000000000000" pitchFamily="49" charset="-128"/>
              <a:ea typeface="BIZ UDゴシック" panose="020B0400000000000000" pitchFamily="49" charset="-128"/>
            </a:rPr>
            <a:t>回あたりの納付額が高くなります。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a:t>
          </a:r>
          <a:r>
            <a:rPr lang="en-US" altLang="ja-JP" sz="1000">
              <a:solidFill>
                <a:schemeClr val="tx1"/>
              </a:solidFill>
              <a:latin typeface="BIZ UDゴシック" panose="020B0400000000000000" pitchFamily="49" charset="-128"/>
              <a:ea typeface="BIZ UDゴシック" panose="020B0400000000000000" pitchFamily="49" charset="-128"/>
            </a:rPr>
            <a:t>1</a:t>
          </a:r>
          <a:r>
            <a:rPr lang="ja-JP" altLang="en-US" sz="1000">
              <a:solidFill>
                <a:schemeClr val="tx1"/>
              </a:solidFill>
              <a:latin typeface="BIZ UDゴシック" panose="020B0400000000000000" pitchFamily="49" charset="-128"/>
              <a:ea typeface="BIZ UDゴシック" panose="020B0400000000000000" pitchFamily="49" charset="-128"/>
            </a:rPr>
            <a:t>か月あたり保険料は年間保険料を加入月数（賦課対象月数）で割ったものです。社会保険の任意継続制度の保険料と</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比較する際の参考としてください。</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・保険料は日割ではなく月単位で賦課します。例：</a:t>
          </a:r>
          <a:r>
            <a:rPr lang="en-US" altLang="ja-JP" sz="1000">
              <a:solidFill>
                <a:schemeClr val="tx1"/>
              </a:solidFill>
              <a:latin typeface="BIZ UDゴシック" panose="020B0400000000000000" pitchFamily="49" charset="-128"/>
              <a:ea typeface="BIZ UDゴシック" panose="020B0400000000000000" pitchFamily="49" charset="-128"/>
            </a:rPr>
            <a:t>5/1</a:t>
          </a:r>
          <a:r>
            <a:rPr lang="ja-JP" altLang="en-US" sz="1000">
              <a:solidFill>
                <a:schemeClr val="tx1"/>
              </a:solidFill>
              <a:latin typeface="BIZ UDゴシック" panose="020B0400000000000000" pitchFamily="49" charset="-128"/>
              <a:ea typeface="BIZ UDゴシック" panose="020B0400000000000000" pitchFamily="49" charset="-128"/>
            </a:rPr>
            <a:t>加入も</a:t>
          </a:r>
          <a:r>
            <a:rPr lang="en-US" altLang="ja-JP" sz="1000">
              <a:solidFill>
                <a:schemeClr val="tx1"/>
              </a:solidFill>
              <a:latin typeface="BIZ UDゴシック" panose="020B0400000000000000" pitchFamily="49" charset="-128"/>
              <a:ea typeface="BIZ UDゴシック" panose="020B0400000000000000" pitchFamily="49" charset="-128"/>
            </a:rPr>
            <a:t>5/31</a:t>
          </a:r>
          <a:r>
            <a:rPr lang="ja-JP" altLang="en-US" sz="1000">
              <a:solidFill>
                <a:schemeClr val="tx1"/>
              </a:solidFill>
              <a:latin typeface="BIZ UDゴシック" panose="020B0400000000000000" pitchFamily="49" charset="-128"/>
              <a:ea typeface="BIZ UDゴシック" panose="020B0400000000000000" pitchFamily="49" charset="-128"/>
            </a:rPr>
            <a:t>加入も、賦課対象月は「</a:t>
          </a:r>
          <a:r>
            <a:rPr lang="en-US" altLang="ja-JP" sz="1000">
              <a:solidFill>
                <a:schemeClr val="tx1"/>
              </a:solidFill>
              <a:latin typeface="BIZ UDゴシック" panose="020B0400000000000000" pitchFamily="49" charset="-128"/>
              <a:ea typeface="BIZ UDゴシック" panose="020B0400000000000000" pitchFamily="49" charset="-128"/>
            </a:rPr>
            <a:t>5</a:t>
          </a:r>
          <a:r>
            <a:rPr lang="ja-JP" altLang="en-US" sz="1000">
              <a:solidFill>
                <a:schemeClr val="tx1"/>
              </a:solidFill>
              <a:latin typeface="BIZ UDゴシック" panose="020B0400000000000000" pitchFamily="49" charset="-128"/>
              <a:ea typeface="BIZ UDゴシック" panose="020B0400000000000000" pitchFamily="49" charset="-128"/>
            </a:rPr>
            <a:t>月～翌</a:t>
          </a:r>
          <a:r>
            <a:rPr lang="en-US" altLang="ja-JP" sz="1000">
              <a:solidFill>
                <a:schemeClr val="tx1"/>
              </a:solidFill>
              <a:latin typeface="BIZ UDゴシック" panose="020B0400000000000000" pitchFamily="49" charset="-128"/>
              <a:ea typeface="BIZ UDゴシック" panose="020B0400000000000000" pitchFamily="49" charset="-128"/>
            </a:rPr>
            <a:t>3</a:t>
          </a:r>
          <a:r>
            <a:rPr lang="ja-JP" altLang="en-US" sz="1000">
              <a:solidFill>
                <a:schemeClr val="tx1"/>
              </a:solidFill>
              <a:latin typeface="BIZ UDゴシック" panose="020B0400000000000000" pitchFamily="49" charset="-128"/>
              <a:ea typeface="BIZ UDゴシック" panose="020B0400000000000000" pitchFamily="49" charset="-128"/>
            </a:rPr>
            <a:t>月」で同じです。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・以下のいずれかに該当する世帯は、正確な保険料を計算できない場合があります。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①年度の途中で</a:t>
          </a:r>
          <a:r>
            <a:rPr lang="en-US" altLang="ja-JP" sz="1000">
              <a:solidFill>
                <a:schemeClr val="tx1"/>
              </a:solidFill>
              <a:latin typeface="BIZ UDゴシック" panose="020B0400000000000000" pitchFamily="49" charset="-128"/>
              <a:ea typeface="BIZ UDゴシック" panose="020B0400000000000000" pitchFamily="49" charset="-128"/>
            </a:rPr>
            <a:t>40</a:t>
          </a:r>
          <a:r>
            <a:rPr lang="ja-JP" altLang="en-US" sz="1000">
              <a:solidFill>
                <a:schemeClr val="tx1"/>
              </a:solidFill>
              <a:latin typeface="BIZ UDゴシック" panose="020B0400000000000000" pitchFamily="49" charset="-128"/>
              <a:ea typeface="BIZ UDゴシック" panose="020B0400000000000000" pitchFamily="49" charset="-128"/>
            </a:rPr>
            <a:t>歳、</a:t>
          </a:r>
          <a:r>
            <a:rPr lang="en-US" altLang="ja-JP" sz="1000">
              <a:solidFill>
                <a:schemeClr val="tx1"/>
              </a:solidFill>
              <a:latin typeface="BIZ UDゴシック" panose="020B0400000000000000" pitchFamily="49" charset="-128"/>
              <a:ea typeface="BIZ UDゴシック" panose="020B0400000000000000" pitchFamily="49" charset="-128"/>
            </a:rPr>
            <a:t>65</a:t>
          </a:r>
          <a:r>
            <a:rPr lang="ja-JP" altLang="en-US" sz="1000">
              <a:solidFill>
                <a:schemeClr val="tx1"/>
              </a:solidFill>
              <a:latin typeface="BIZ UDゴシック" panose="020B0400000000000000" pitchFamily="49" charset="-128"/>
              <a:ea typeface="BIZ UDゴシック" panose="020B0400000000000000" pitchFamily="49" charset="-128"/>
            </a:rPr>
            <a:t>歳、</a:t>
          </a:r>
          <a:r>
            <a:rPr lang="en-US" altLang="ja-JP" sz="1000">
              <a:solidFill>
                <a:schemeClr val="tx1"/>
              </a:solidFill>
              <a:latin typeface="BIZ UDゴシック" panose="020B0400000000000000" pitchFamily="49" charset="-128"/>
              <a:ea typeface="BIZ UDゴシック" panose="020B0400000000000000" pitchFamily="49" charset="-128"/>
            </a:rPr>
            <a:t>75</a:t>
          </a:r>
          <a:r>
            <a:rPr lang="ja-JP" altLang="en-US" sz="1000">
              <a:solidFill>
                <a:schemeClr val="tx1"/>
              </a:solidFill>
              <a:latin typeface="BIZ UDゴシック" panose="020B0400000000000000" pitchFamily="49" charset="-128"/>
              <a:ea typeface="BIZ UDゴシック" panose="020B0400000000000000" pitchFamily="49" charset="-128"/>
            </a:rPr>
            <a:t>歳になる（なった）方がいる</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②年度の途中で加入・脱退した方がいる</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③分離課税・繰越控除の申告をした方がいる</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④専従者控除・専従者給与のある方がいる</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en-US" altLang="ja-JP" sz="1000">
              <a:solidFill>
                <a:schemeClr val="tx1"/>
              </a:solidFill>
              <a:latin typeface="BIZ UDゴシック" panose="020B0400000000000000" pitchFamily="49" charset="-128"/>
              <a:ea typeface="BIZ UDゴシック" panose="020B0400000000000000" pitchFamily="49" charset="-128"/>
            </a:rPr>
            <a:t>※2 </a:t>
          </a:r>
          <a:r>
            <a:rPr lang="ja-JP" altLang="en-US" sz="1000">
              <a:solidFill>
                <a:schemeClr val="tx1"/>
              </a:solidFill>
              <a:latin typeface="BIZ UDゴシック" panose="020B0400000000000000" pitchFamily="49" charset="-128"/>
              <a:ea typeface="BIZ UDゴシック" panose="020B0400000000000000" pitchFamily="49" charset="-128"/>
            </a:rPr>
            <a:t>・所得が一定基準以下の場合、均等割額が軽減されます。この適用を受けるには、世帯主を含む加入者全員が所得を申</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告する必要があります。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・均等割額の減額判定にはこの試算シートでは反映していない控除等があるため実際と異なる場合があります。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・均等割額の減額判定における「給与所得者等（給与収入を有する方）」は給与収入が</a:t>
          </a:r>
          <a:r>
            <a:rPr lang="en-US" altLang="ja-JP" sz="1000">
              <a:solidFill>
                <a:schemeClr val="tx1"/>
              </a:solidFill>
              <a:latin typeface="BIZ UDゴシック" panose="020B0400000000000000" pitchFamily="49" charset="-128"/>
              <a:ea typeface="BIZ UDゴシック" panose="020B0400000000000000" pitchFamily="49" charset="-128"/>
            </a:rPr>
            <a:t>55</a:t>
          </a:r>
          <a:r>
            <a:rPr lang="ja-JP" altLang="en-US" sz="1000">
              <a:solidFill>
                <a:schemeClr val="tx1"/>
              </a:solidFill>
              <a:latin typeface="BIZ UDゴシック" panose="020B0400000000000000" pitchFamily="49" charset="-128"/>
              <a:ea typeface="BIZ UDゴシック" panose="020B0400000000000000" pitchFamily="49" charset="-128"/>
            </a:rPr>
            <a:t>万を超える者が対象となりま</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en-US" altLang="ja-JP" sz="1000">
              <a:solidFill>
                <a:schemeClr val="tx1"/>
              </a:solidFill>
              <a:latin typeface="BIZ UDゴシック" panose="020B0400000000000000" pitchFamily="49" charset="-128"/>
              <a:ea typeface="BIZ UDゴシック" panose="020B0400000000000000" pitchFamily="49" charset="-128"/>
            </a:rPr>
            <a:t>      </a:t>
          </a:r>
          <a:r>
            <a:rPr lang="ja-JP" altLang="en-US" sz="1000">
              <a:solidFill>
                <a:schemeClr val="tx1"/>
              </a:solidFill>
              <a:latin typeface="BIZ UDゴシック" panose="020B0400000000000000" pitchFamily="49" charset="-128"/>
              <a:ea typeface="BIZ UDゴシック" panose="020B0400000000000000" pitchFamily="49" charset="-128"/>
            </a:rPr>
            <a:t>すが、本シートにおいては給与所得が０円を超える者を「給与所得者等」としています。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br>
            <a:rPr lang="ja-JP" altLang="en-US" sz="1000">
              <a:solidFill>
                <a:schemeClr val="tx1"/>
              </a:solidFill>
              <a:latin typeface="BIZ UDゴシック" panose="020B0400000000000000" pitchFamily="49" charset="-128"/>
              <a:ea typeface="BIZ UDゴシック" panose="020B0400000000000000" pitchFamily="49" charset="-128"/>
            </a:rPr>
          </a:br>
          <a:r>
            <a:rPr lang="en-US" altLang="ja-JP" sz="1000">
              <a:solidFill>
                <a:schemeClr val="tx1"/>
              </a:solidFill>
              <a:latin typeface="BIZ UDゴシック" panose="020B0400000000000000" pitchFamily="49" charset="-128"/>
              <a:ea typeface="BIZ UDゴシック" panose="020B0400000000000000" pitchFamily="49" charset="-128"/>
            </a:rPr>
            <a:t>※3 </a:t>
          </a:r>
          <a:r>
            <a:rPr lang="ja-JP" altLang="en-US" sz="1000">
              <a:solidFill>
                <a:schemeClr val="tx1"/>
              </a:solidFill>
              <a:latin typeface="BIZ UDゴシック" panose="020B0400000000000000" pitchFamily="49" charset="-128"/>
              <a:ea typeface="BIZ UDゴシック" panose="020B0400000000000000" pitchFamily="49" charset="-128"/>
            </a:rPr>
            <a:t>世帯あたりの保険料が最高限度額に達する場合、「合計欄 </a:t>
          </a:r>
          <a:r>
            <a:rPr lang="en-US" altLang="ja-JP" sz="1000">
              <a:solidFill>
                <a:schemeClr val="tx1"/>
              </a:solidFill>
              <a:latin typeface="BIZ UDゴシック" panose="020B0400000000000000" pitchFamily="49" charset="-128"/>
              <a:ea typeface="BIZ UDゴシック" panose="020B0400000000000000" pitchFamily="49" charset="-128"/>
            </a:rPr>
            <a:t>= </a:t>
          </a:r>
          <a:r>
            <a:rPr lang="ja-JP" altLang="en-US" sz="1000">
              <a:solidFill>
                <a:schemeClr val="tx1"/>
              </a:solidFill>
              <a:latin typeface="BIZ UDゴシック" panose="020B0400000000000000" pitchFamily="49" charset="-128"/>
              <a:ea typeface="BIZ UDゴシック" panose="020B0400000000000000" pitchFamily="49" charset="-128"/>
            </a:rPr>
            <a:t>所得割 </a:t>
          </a:r>
          <a:r>
            <a:rPr lang="en-US" altLang="ja-JP" sz="1000">
              <a:solidFill>
                <a:schemeClr val="tx1"/>
              </a:solidFill>
              <a:latin typeface="BIZ UDゴシック" panose="020B0400000000000000" pitchFamily="49" charset="-128"/>
              <a:ea typeface="BIZ UDゴシック" panose="020B0400000000000000" pitchFamily="49" charset="-128"/>
            </a:rPr>
            <a:t>+ </a:t>
          </a:r>
          <a:r>
            <a:rPr lang="ja-JP" altLang="en-US" sz="1000">
              <a:solidFill>
                <a:schemeClr val="tx1"/>
              </a:solidFill>
              <a:latin typeface="BIZ UDゴシック" panose="020B0400000000000000" pitchFamily="49" charset="-128"/>
              <a:ea typeface="BIZ UDゴシック" panose="020B0400000000000000" pitchFamily="49" charset="-128"/>
            </a:rPr>
            <a:t>均等割」にはなりません。</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en-US" altLang="ja-JP" sz="1000">
              <a:solidFill>
                <a:schemeClr val="tx1"/>
              </a:solidFill>
              <a:latin typeface="BIZ UDゴシック" panose="020B0400000000000000" pitchFamily="49" charset="-128"/>
              <a:ea typeface="BIZ UDゴシック" panose="020B0400000000000000" pitchFamily="49" charset="-128"/>
            </a:rPr>
            <a:t>※4 </a:t>
          </a:r>
          <a:r>
            <a:rPr lang="ja-JP" altLang="en-US" sz="1000">
              <a:solidFill>
                <a:schemeClr val="tx1"/>
              </a:solidFill>
              <a:latin typeface="BIZ UDゴシック" panose="020B0400000000000000" pitchFamily="49" charset="-128"/>
              <a:ea typeface="BIZ UDゴシック" panose="020B0400000000000000" pitchFamily="49" charset="-128"/>
            </a:rPr>
            <a:t>・保険料は所得に応じてかかる「所得割額」と加入者数に応じてかかる「均等割額」を合計したもので、世帯を単位と</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して決まります。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・「所得割額」は合計所得から基礎控除（原則</a:t>
          </a:r>
          <a:r>
            <a:rPr lang="en-US" altLang="ja-JP" sz="1000">
              <a:solidFill>
                <a:schemeClr val="tx1"/>
              </a:solidFill>
              <a:latin typeface="BIZ UDゴシック" panose="020B0400000000000000" pitchFamily="49" charset="-128"/>
              <a:ea typeface="BIZ UDゴシック" panose="020B0400000000000000" pitchFamily="49" charset="-128"/>
            </a:rPr>
            <a:t>43</a:t>
          </a:r>
          <a:r>
            <a:rPr lang="ja-JP" altLang="en-US" sz="1000">
              <a:solidFill>
                <a:schemeClr val="tx1"/>
              </a:solidFill>
              <a:latin typeface="BIZ UDゴシック" panose="020B0400000000000000" pitchFamily="49" charset="-128"/>
              <a:ea typeface="BIZ UDゴシック" panose="020B0400000000000000" pitchFamily="49" charset="-128"/>
            </a:rPr>
            <a:t>万円）を引いた額に一定の料率を乗じて算出します。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・「所得割額」と「均等割額」はそれぞれ「医療分」「後期高齢者支援金分」「介護分」および「子ども・子育て支援</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ja-JP" altLang="en-US" sz="1000">
              <a:solidFill>
                <a:schemeClr val="tx1"/>
              </a:solidFill>
              <a:latin typeface="BIZ UDゴシック" panose="020B0400000000000000" pitchFamily="49" charset="-128"/>
              <a:ea typeface="BIZ UDゴシック" panose="020B0400000000000000" pitchFamily="49" charset="-128"/>
            </a:rPr>
            <a:t>　　　金分」の４つに細分されます。</a:t>
          </a:r>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endParaRPr lang="en-US" altLang="ja-JP" sz="1000">
            <a:solidFill>
              <a:schemeClr val="tx1"/>
            </a:solidFill>
            <a:latin typeface="BIZ UDゴシック" panose="020B0400000000000000" pitchFamily="49" charset="-128"/>
            <a:ea typeface="BIZ UDゴシック" panose="020B0400000000000000" pitchFamily="49" charset="-128"/>
          </a:endParaRPr>
        </a:p>
        <a:p>
          <a:pPr algn="l"/>
          <a:r>
            <a:rPr lang="en-US" altLang="ja-JP" sz="1000">
              <a:solidFill>
                <a:schemeClr val="tx1"/>
              </a:solidFill>
              <a:latin typeface="BIZ UDゴシック" panose="020B0400000000000000" pitchFamily="49" charset="-128"/>
              <a:ea typeface="BIZ UDゴシック" panose="020B0400000000000000" pitchFamily="49" charset="-128"/>
            </a:rPr>
            <a:t>※5 </a:t>
          </a:r>
          <a:r>
            <a:rPr lang="ja-JP" altLang="en-US" sz="1000">
              <a:solidFill>
                <a:schemeClr val="tx1"/>
              </a:solidFill>
              <a:latin typeface="BIZ UDゴシック" panose="020B0400000000000000" pitchFamily="49" charset="-128"/>
              <a:ea typeface="BIZ UDゴシック" panose="020B0400000000000000" pitchFamily="49" charset="-128"/>
            </a:rPr>
            <a:t>上限適用前の参考値です。なお、上限は世帯単位で適用します。</a:t>
          </a:r>
          <a:endParaRPr lang="en-US" altLang="ja-JP" sz="10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chiyoda.lg.jp/koho/kurashi/hoken/kenkohoken/kes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T101"/>
  <sheetViews>
    <sheetView showGridLines="0" tabSelected="1" zoomScaleNormal="100" workbookViewId="0">
      <selection activeCell="B8" sqref="B8"/>
    </sheetView>
  </sheetViews>
  <sheetFormatPr defaultRowHeight="11.5" x14ac:dyDescent="0.2"/>
  <cols>
    <col min="1" max="1" width="13.6328125" style="7" customWidth="1"/>
    <col min="2" max="3" width="13.7265625" style="7" customWidth="1"/>
    <col min="4" max="7" width="13.1796875" style="7" customWidth="1"/>
    <col min="8" max="8" width="13.26953125" style="7" customWidth="1"/>
    <col min="9" max="10" width="8.6328125" style="7" customWidth="1"/>
    <col min="11" max="16384" width="8.7265625" style="7"/>
  </cols>
  <sheetData>
    <row r="1" spans="1:8" ht="22" customHeight="1" x14ac:dyDescent="0.2">
      <c r="A1" s="19" t="str">
        <f>設定!B33</f>
        <v>令和８年度</v>
      </c>
      <c r="B1" s="9" t="s">
        <v>77</v>
      </c>
    </row>
    <row r="3" spans="1:8" ht="13" x14ac:dyDescent="0.2">
      <c r="A3" s="20" t="s">
        <v>0</v>
      </c>
    </row>
    <row r="4" spans="1:8" x14ac:dyDescent="0.2">
      <c r="A4" s="8" t="str">
        <f>設定!B34-1&amp;"年１月～12月の所得をもとに"&amp;設定!B34&amp;"年4月～翌年3月（12カ月分）の保険料を試算することができます。"</f>
        <v>2025年１月～12月の所得をもとに2026年4月～翌年3月（12カ月分）の保険料を試算することができます。</v>
      </c>
    </row>
    <row r="5" spans="1:8" x14ac:dyDescent="0.2">
      <c r="A5" s="8" t="s">
        <v>89</v>
      </c>
    </row>
    <row r="7" spans="1:8" ht="13" x14ac:dyDescent="0.2">
      <c r="A7" s="6" t="s">
        <v>76</v>
      </c>
    </row>
    <row r="8" spans="1:8" ht="28" customHeight="1" x14ac:dyDescent="0.2">
      <c r="A8" s="18" t="s">
        <v>84</v>
      </c>
      <c r="B8" s="54"/>
      <c r="C8" s="18" t="s">
        <v>36</v>
      </c>
      <c r="D8" s="63">
        <f>計算!B8</f>
        <v>12</v>
      </c>
    </row>
    <row r="9" spans="1:8" ht="28" customHeight="1" x14ac:dyDescent="0.2">
      <c r="A9" s="18" t="s">
        <v>157</v>
      </c>
      <c r="B9" s="62"/>
    </row>
    <row r="10" spans="1:8" ht="11" customHeight="1" x14ac:dyDescent="0.2"/>
    <row r="11" spans="1:8" ht="24" customHeight="1" x14ac:dyDescent="0.2">
      <c r="A11" s="13" t="s">
        <v>85</v>
      </c>
      <c r="B11" s="13" t="s">
        <v>86</v>
      </c>
      <c r="C11" s="13" t="s">
        <v>79</v>
      </c>
      <c r="D11" s="13" t="s">
        <v>87</v>
      </c>
      <c r="E11" s="13" t="s">
        <v>148</v>
      </c>
      <c r="F11" s="13" t="s">
        <v>88</v>
      </c>
      <c r="G11" s="13" t="s">
        <v>154</v>
      </c>
      <c r="H11" s="8"/>
    </row>
    <row r="12" spans="1:8" ht="22.5" customHeight="1" x14ac:dyDescent="0.2">
      <c r="A12" s="22">
        <v>1</v>
      </c>
      <c r="B12" s="23" t="str">
        <f>IF($B$9="はい","加入","擬主")</f>
        <v>擬主</v>
      </c>
      <c r="C12" s="56"/>
      <c r="D12" s="57"/>
      <c r="E12" s="57"/>
      <c r="F12" s="57"/>
      <c r="G12" s="55"/>
      <c r="H12" s="8"/>
    </row>
    <row r="13" spans="1:8" ht="22.5" customHeight="1" x14ac:dyDescent="0.2">
      <c r="A13" s="24">
        <v>2</v>
      </c>
      <c r="B13" s="55"/>
      <c r="C13" s="56"/>
      <c r="D13" s="57"/>
      <c r="E13" s="57"/>
      <c r="F13" s="57"/>
      <c r="G13" s="55"/>
    </row>
    <row r="14" spans="1:8" ht="22.5" customHeight="1" x14ac:dyDescent="0.2">
      <c r="A14" s="24">
        <v>3</v>
      </c>
      <c r="B14" s="55"/>
      <c r="C14" s="56"/>
      <c r="D14" s="57"/>
      <c r="E14" s="57"/>
      <c r="F14" s="57"/>
      <c r="G14" s="55"/>
    </row>
    <row r="15" spans="1:8" ht="22.5" customHeight="1" x14ac:dyDescent="0.2">
      <c r="A15" s="24">
        <v>4</v>
      </c>
      <c r="B15" s="55"/>
      <c r="C15" s="56"/>
      <c r="D15" s="57"/>
      <c r="E15" s="57"/>
      <c r="F15" s="57"/>
      <c r="G15" s="55"/>
    </row>
    <row r="16" spans="1:8" ht="22.5" customHeight="1" x14ac:dyDescent="0.2">
      <c r="A16" s="24">
        <v>5</v>
      </c>
      <c r="B16" s="55"/>
      <c r="C16" s="56"/>
      <c r="D16" s="57"/>
      <c r="E16" s="57"/>
      <c r="F16" s="57"/>
      <c r="G16" s="55"/>
    </row>
    <row r="17" spans="1:20" ht="22.5" customHeight="1" x14ac:dyDescent="0.2">
      <c r="A17" s="24">
        <v>6</v>
      </c>
      <c r="B17" s="55"/>
      <c r="C17" s="56"/>
      <c r="D17" s="57"/>
      <c r="E17" s="57"/>
      <c r="F17" s="57"/>
      <c r="G17" s="55"/>
    </row>
    <row r="18" spans="1:20" ht="22.5" customHeight="1" x14ac:dyDescent="0.2">
      <c r="A18" s="24">
        <v>7</v>
      </c>
      <c r="B18" s="55"/>
      <c r="C18" s="56"/>
      <c r="D18" s="57"/>
      <c r="E18" s="57"/>
      <c r="F18" s="57"/>
      <c r="G18" s="55"/>
    </row>
    <row r="19" spans="1:20" ht="22.5" customHeight="1" x14ac:dyDescent="0.2">
      <c r="A19" s="24">
        <v>8</v>
      </c>
      <c r="B19" s="55"/>
      <c r="C19" s="56"/>
      <c r="D19" s="57"/>
      <c r="E19" s="57"/>
      <c r="F19" s="57"/>
      <c r="G19" s="55"/>
    </row>
    <row r="20" spans="1:20" ht="22.5" customHeight="1" x14ac:dyDescent="0.2">
      <c r="A20" s="24">
        <v>9</v>
      </c>
      <c r="B20" s="55"/>
      <c r="C20" s="56"/>
      <c r="D20" s="57"/>
      <c r="E20" s="57"/>
      <c r="F20" s="57"/>
      <c r="G20" s="55"/>
    </row>
    <row r="21" spans="1:20" ht="22.5" customHeight="1" x14ac:dyDescent="0.2">
      <c r="A21" s="25">
        <v>10</v>
      </c>
      <c r="B21" s="55"/>
      <c r="C21" s="56"/>
      <c r="D21" s="57"/>
      <c r="E21" s="57"/>
      <c r="F21" s="57"/>
      <c r="G21" s="55"/>
      <c r="Q21" s="16"/>
    </row>
    <row r="22" spans="1:20" ht="13" x14ac:dyDescent="0.2">
      <c r="Q22" s="58" t="s">
        <v>161</v>
      </c>
      <c r="R22" s="61"/>
      <c r="S22" s="59"/>
      <c r="T22" s="60"/>
    </row>
    <row r="23" spans="1:20" ht="13" x14ac:dyDescent="0.2">
      <c r="A23" s="6" t="s">
        <v>153</v>
      </c>
    </row>
    <row r="24" spans="1:20" ht="12" thickBot="1" x14ac:dyDescent="0.25"/>
    <row r="25" spans="1:20" ht="43" customHeight="1" thickBot="1" x14ac:dyDescent="0.25">
      <c r="A25" s="37" t="s">
        <v>159</v>
      </c>
      <c r="B25" s="35">
        <f>ROUND(D33*計算!E8,0)</f>
        <v>0</v>
      </c>
      <c r="C25" s="39" t="s">
        <v>149</v>
      </c>
      <c r="D25" s="35">
        <f>IF(計算!E5&gt;0,ROUND(B25/計算!E5,0),"")</f>
        <v>0</v>
      </c>
      <c r="E25" s="33" t="s">
        <v>151</v>
      </c>
      <c r="F25" s="38" t="s">
        <v>158</v>
      </c>
      <c r="G25" s="40">
        <f>計算!B33</f>
        <v>7</v>
      </c>
    </row>
    <row r="27" spans="1:20" x14ac:dyDescent="0.2">
      <c r="A27" s="30" t="s">
        <v>168</v>
      </c>
      <c r="E27" s="21" t="s">
        <v>152</v>
      </c>
    </row>
    <row r="28" spans="1:20" ht="34" customHeight="1" x14ac:dyDescent="0.2">
      <c r="A28" s="13" t="s">
        <v>38</v>
      </c>
      <c r="B28" s="13" t="s">
        <v>162</v>
      </c>
      <c r="C28" s="13" t="s">
        <v>163</v>
      </c>
      <c r="D28" s="13" t="s">
        <v>81</v>
      </c>
      <c r="E28" s="34" t="s">
        <v>92</v>
      </c>
      <c r="F28" s="34" t="s">
        <v>91</v>
      </c>
      <c r="G28" s="34" t="s">
        <v>42</v>
      </c>
    </row>
    <row r="29" spans="1:20" ht="22.5" customHeight="1" x14ac:dyDescent="0.2">
      <c r="A29" s="26" t="s">
        <v>45</v>
      </c>
      <c r="B29" s="27">
        <f>SUM(計算!L12:L21)</f>
        <v>0</v>
      </c>
      <c r="C29" s="27">
        <f>SUM(計算!Q12:Q21)</f>
        <v>0</v>
      </c>
      <c r="D29" s="27">
        <f>MIN(計算!G26,G29)</f>
        <v>0</v>
      </c>
      <c r="E29" s="29">
        <f>設定!B4</f>
        <v>7.51E-2</v>
      </c>
      <c r="F29" s="28">
        <f>設定!B8</f>
        <v>47600</v>
      </c>
      <c r="G29" s="28">
        <f>設定!$B$12</f>
        <v>670000</v>
      </c>
    </row>
    <row r="30" spans="1:20" ht="22.5" customHeight="1" x14ac:dyDescent="0.2">
      <c r="A30" s="26" t="s">
        <v>167</v>
      </c>
      <c r="B30" s="27">
        <f>SUM(計算!M12:M21)</f>
        <v>0</v>
      </c>
      <c r="C30" s="27">
        <f>SUM(計算!R12:R21)</f>
        <v>0</v>
      </c>
      <c r="D30" s="27">
        <f>MIN(計算!G27,G30)</f>
        <v>0</v>
      </c>
      <c r="E30" s="29">
        <f>設定!B5</f>
        <v>2.8000000000000001E-2</v>
      </c>
      <c r="F30" s="28">
        <f>設定!B9</f>
        <v>17600</v>
      </c>
      <c r="G30" s="28">
        <f>設定!$B$13</f>
        <v>260000</v>
      </c>
    </row>
    <row r="31" spans="1:20" ht="22.5" customHeight="1" x14ac:dyDescent="0.2">
      <c r="A31" s="26" t="s">
        <v>47</v>
      </c>
      <c r="B31" s="27">
        <f>SUM(計算!N12:N21)</f>
        <v>0</v>
      </c>
      <c r="C31" s="27">
        <f>SUM(計算!S12:S21)</f>
        <v>0</v>
      </c>
      <c r="D31" s="27">
        <f>MIN(計算!G28,G31)</f>
        <v>0</v>
      </c>
      <c r="E31" s="29">
        <f>設定!B6</f>
        <v>2.4299999999999999E-2</v>
      </c>
      <c r="F31" s="28">
        <f>設定!B10</f>
        <v>17800</v>
      </c>
      <c r="G31" s="28">
        <f>設定!$B$14</f>
        <v>170000</v>
      </c>
    </row>
    <row r="32" spans="1:20" ht="22.5" customHeight="1" x14ac:dyDescent="0.2">
      <c r="A32" s="26" t="s">
        <v>48</v>
      </c>
      <c r="B32" s="27">
        <f>SUM(計算!O12:O21)</f>
        <v>0</v>
      </c>
      <c r="C32" s="27">
        <f>SUM(計算!T12:T21)</f>
        <v>0</v>
      </c>
      <c r="D32" s="27">
        <f>MIN(計算!G29,G32)</f>
        <v>0</v>
      </c>
      <c r="E32" s="29">
        <f>設定!B7</f>
        <v>2.7000000000000001E-3</v>
      </c>
      <c r="F32" s="28">
        <f>設定!B11</f>
        <v>1873</v>
      </c>
      <c r="G32" s="28">
        <f>設定!$B$15</f>
        <v>30000</v>
      </c>
    </row>
    <row r="33" spans="1:7" ht="22.5" customHeight="1" x14ac:dyDescent="0.2">
      <c r="A33" s="17" t="s">
        <v>80</v>
      </c>
      <c r="B33" s="27">
        <f>SUM(B29:B32)</f>
        <v>0</v>
      </c>
      <c r="C33" s="27">
        <f>SUM(C29:C32)</f>
        <v>0</v>
      </c>
      <c r="D33" s="27">
        <f>SUM(D29:D32)</f>
        <v>0</v>
      </c>
      <c r="E33" s="28"/>
      <c r="F33" s="28"/>
      <c r="G33" s="28"/>
    </row>
    <row r="34" spans="1:7" x14ac:dyDescent="0.15">
      <c r="A34" s="5"/>
    </row>
    <row r="35" spans="1:7" x14ac:dyDescent="0.2">
      <c r="A35" s="30" t="s">
        <v>169</v>
      </c>
    </row>
    <row r="36" spans="1:7" ht="34" customHeight="1" x14ac:dyDescent="0.2">
      <c r="A36" s="13" t="s">
        <v>150</v>
      </c>
      <c r="B36" s="13" t="s">
        <v>1</v>
      </c>
      <c r="C36" s="13" t="s">
        <v>173</v>
      </c>
      <c r="D36" s="13" t="s">
        <v>174</v>
      </c>
      <c r="E36" s="13" t="s">
        <v>162</v>
      </c>
      <c r="F36" s="13" t="s">
        <v>164</v>
      </c>
      <c r="G36" s="13" t="s">
        <v>50</v>
      </c>
    </row>
    <row r="37" spans="1:7" ht="18.5" customHeight="1" x14ac:dyDescent="0.2">
      <c r="A37" s="31">
        <f>計算!A12</f>
        <v>1</v>
      </c>
      <c r="B37" s="17" t="str">
        <f>計算!B12</f>
        <v>擬主</v>
      </c>
      <c r="C37" s="27">
        <f>計算!C12</f>
        <v>0</v>
      </c>
      <c r="D37" s="27">
        <f>計算!K12</f>
        <v>0</v>
      </c>
      <c r="E37" s="27">
        <f>計算!P12</f>
        <v>0</v>
      </c>
      <c r="F37" s="27">
        <f>計算!U12</f>
        <v>0</v>
      </c>
      <c r="G37" s="27">
        <f t="shared" ref="G37:G46" si="0">E37+F37</f>
        <v>0</v>
      </c>
    </row>
    <row r="38" spans="1:7" ht="18.5" customHeight="1" x14ac:dyDescent="0.2">
      <c r="A38" s="31">
        <f>計算!A13</f>
        <v>2</v>
      </c>
      <c r="B38" s="17">
        <f>計算!B13</f>
        <v>0</v>
      </c>
      <c r="C38" s="27">
        <f>計算!C13</f>
        <v>0</v>
      </c>
      <c r="D38" s="27">
        <f>計算!K13</f>
        <v>0</v>
      </c>
      <c r="E38" s="27">
        <f>計算!P13</f>
        <v>0</v>
      </c>
      <c r="F38" s="27">
        <f>計算!U13</f>
        <v>0</v>
      </c>
      <c r="G38" s="27">
        <f t="shared" si="0"/>
        <v>0</v>
      </c>
    </row>
    <row r="39" spans="1:7" ht="18.5" customHeight="1" x14ac:dyDescent="0.2">
      <c r="A39" s="31">
        <f>計算!A14</f>
        <v>3</v>
      </c>
      <c r="B39" s="17">
        <f>計算!B14</f>
        <v>0</v>
      </c>
      <c r="C39" s="27">
        <f>計算!C14</f>
        <v>0</v>
      </c>
      <c r="D39" s="27">
        <f>計算!K14</f>
        <v>0</v>
      </c>
      <c r="E39" s="27">
        <f>計算!P14</f>
        <v>0</v>
      </c>
      <c r="F39" s="27">
        <f>計算!U14</f>
        <v>0</v>
      </c>
      <c r="G39" s="27">
        <f t="shared" si="0"/>
        <v>0</v>
      </c>
    </row>
    <row r="40" spans="1:7" ht="18.5" customHeight="1" x14ac:dyDescent="0.2">
      <c r="A40" s="31">
        <f>計算!A15</f>
        <v>4</v>
      </c>
      <c r="B40" s="17">
        <f>計算!B15</f>
        <v>0</v>
      </c>
      <c r="C40" s="27">
        <f>計算!C15</f>
        <v>0</v>
      </c>
      <c r="D40" s="27">
        <f>計算!K15</f>
        <v>0</v>
      </c>
      <c r="E40" s="27">
        <f>計算!P15</f>
        <v>0</v>
      </c>
      <c r="F40" s="27">
        <f>計算!U15</f>
        <v>0</v>
      </c>
      <c r="G40" s="27">
        <f t="shared" si="0"/>
        <v>0</v>
      </c>
    </row>
    <row r="41" spans="1:7" ht="18.5" customHeight="1" x14ac:dyDescent="0.2">
      <c r="A41" s="31">
        <f>計算!A16</f>
        <v>5</v>
      </c>
      <c r="B41" s="17">
        <f>計算!B16</f>
        <v>0</v>
      </c>
      <c r="C41" s="27">
        <f>計算!C16</f>
        <v>0</v>
      </c>
      <c r="D41" s="27">
        <f>計算!K16</f>
        <v>0</v>
      </c>
      <c r="E41" s="27">
        <f>計算!P16</f>
        <v>0</v>
      </c>
      <c r="F41" s="27">
        <f>計算!U16</f>
        <v>0</v>
      </c>
      <c r="G41" s="27">
        <f t="shared" si="0"/>
        <v>0</v>
      </c>
    </row>
    <row r="42" spans="1:7" ht="18.5" customHeight="1" x14ac:dyDescent="0.2">
      <c r="A42" s="31">
        <f>計算!A17</f>
        <v>6</v>
      </c>
      <c r="B42" s="17">
        <f>計算!B17</f>
        <v>0</v>
      </c>
      <c r="C42" s="27">
        <f>計算!C17</f>
        <v>0</v>
      </c>
      <c r="D42" s="27">
        <f>計算!K17</f>
        <v>0</v>
      </c>
      <c r="E42" s="27">
        <f>計算!P17</f>
        <v>0</v>
      </c>
      <c r="F42" s="27">
        <f>計算!U17</f>
        <v>0</v>
      </c>
      <c r="G42" s="27">
        <f t="shared" si="0"/>
        <v>0</v>
      </c>
    </row>
    <row r="43" spans="1:7" ht="18.5" customHeight="1" x14ac:dyDescent="0.2">
      <c r="A43" s="31">
        <f>計算!A18</f>
        <v>7</v>
      </c>
      <c r="B43" s="17">
        <f>計算!B18</f>
        <v>0</v>
      </c>
      <c r="C43" s="27">
        <f>計算!C18</f>
        <v>0</v>
      </c>
      <c r="D43" s="27">
        <f>計算!K18</f>
        <v>0</v>
      </c>
      <c r="E43" s="27">
        <f>計算!P18</f>
        <v>0</v>
      </c>
      <c r="F43" s="27">
        <f>計算!U18</f>
        <v>0</v>
      </c>
      <c r="G43" s="27">
        <f t="shared" si="0"/>
        <v>0</v>
      </c>
    </row>
    <row r="44" spans="1:7" ht="18.5" customHeight="1" x14ac:dyDescent="0.2">
      <c r="A44" s="31">
        <f>計算!A19</f>
        <v>8</v>
      </c>
      <c r="B44" s="17">
        <f>計算!B19</f>
        <v>0</v>
      </c>
      <c r="C44" s="27">
        <f>計算!C19</f>
        <v>0</v>
      </c>
      <c r="D44" s="27">
        <f>計算!K19</f>
        <v>0</v>
      </c>
      <c r="E44" s="27">
        <f>計算!P19</f>
        <v>0</v>
      </c>
      <c r="F44" s="27">
        <f>計算!U19</f>
        <v>0</v>
      </c>
      <c r="G44" s="27">
        <f t="shared" si="0"/>
        <v>0</v>
      </c>
    </row>
    <row r="45" spans="1:7" ht="18.5" customHeight="1" x14ac:dyDescent="0.2">
      <c r="A45" s="31">
        <f>計算!A20</f>
        <v>9</v>
      </c>
      <c r="B45" s="17">
        <f>計算!B20</f>
        <v>0</v>
      </c>
      <c r="C45" s="27">
        <f>計算!C20</f>
        <v>0</v>
      </c>
      <c r="D45" s="27">
        <f>計算!K20</f>
        <v>0</v>
      </c>
      <c r="E45" s="27">
        <f>計算!P20</f>
        <v>0</v>
      </c>
      <c r="F45" s="27">
        <f>計算!U20</f>
        <v>0</v>
      </c>
      <c r="G45" s="27">
        <f t="shared" si="0"/>
        <v>0</v>
      </c>
    </row>
    <row r="46" spans="1:7" ht="18.5" customHeight="1" x14ac:dyDescent="0.2">
      <c r="A46" s="31">
        <f>計算!A21</f>
        <v>10</v>
      </c>
      <c r="B46" s="17">
        <f>計算!B21</f>
        <v>0</v>
      </c>
      <c r="C46" s="27">
        <f>計算!C21</f>
        <v>0</v>
      </c>
      <c r="D46" s="27">
        <f>計算!K21</f>
        <v>0</v>
      </c>
      <c r="E46" s="27">
        <f>計算!P21</f>
        <v>0</v>
      </c>
      <c r="F46" s="27">
        <f>計算!U21</f>
        <v>0</v>
      </c>
      <c r="G46" s="27">
        <f t="shared" si="0"/>
        <v>0</v>
      </c>
    </row>
    <row r="48" spans="1:7" x14ac:dyDescent="0.2">
      <c r="A48" s="32"/>
    </row>
    <row r="49" spans="1:7" ht="13" x14ac:dyDescent="0.2">
      <c r="A49" s="6" t="s">
        <v>108</v>
      </c>
    </row>
    <row r="50" spans="1:7" x14ac:dyDescent="0.2">
      <c r="A50" s="7" t="s">
        <v>155</v>
      </c>
      <c r="G50" s="7" t="s">
        <v>166</v>
      </c>
    </row>
    <row r="51" spans="1:7" x14ac:dyDescent="0.15">
      <c r="G51" s="36" t="s">
        <v>165</v>
      </c>
    </row>
    <row r="55" spans="1:7" x14ac:dyDescent="0.2">
      <c r="A55" s="21"/>
    </row>
    <row r="101" spans="1:1" x14ac:dyDescent="0.2">
      <c r="A101" s="7" t="s">
        <v>156</v>
      </c>
    </row>
  </sheetData>
  <sheetProtection sheet="1" objects="1" scenarios="1" selectLockedCells="1"/>
  <phoneticPr fontId="14"/>
  <dataValidations xWindow="232" yWindow="432" count="5">
    <dataValidation type="list" allowBlank="1" showErrorMessage="1" sqref="B9" xr:uid="{00000000-0002-0000-0100-000000000000}">
      <formula1>"はい,いいえ"</formula1>
    </dataValidation>
    <dataValidation type="list" allowBlank="1" showErrorMessage="1" sqref="B13:B21" xr:uid="{00000000-0002-0000-0100-000001000000}">
      <formula1>"加入"</formula1>
    </dataValidation>
    <dataValidation type="list" allowBlank="1" showErrorMessage="1" sqref="G12:G21" xr:uid="{B8834E81-6DAA-4EC8-9423-AE918E14D29A}">
      <formula1>"はい"</formula1>
    </dataValidation>
    <dataValidation type="whole" imeMode="halfAlpha" allowBlank="1" showInputMessage="1" showErrorMessage="1" sqref="C12:F21" xr:uid="{ABCEC3D5-FD52-4BE9-8B1C-14AF009039CB}">
      <formula1>0</formula1>
      <formula2>999999999</formula2>
    </dataValidation>
    <dataValidation imeMode="halfAlpha" allowBlank="1" showInputMessage="1" showErrorMessage="1" prompt="日付は「6/1」のように「/」を用いて入力してください" sqref="B8" xr:uid="{0CCA759B-D336-47AC-88BA-FA319996A62B}"/>
  </dataValidations>
  <hyperlinks>
    <hyperlink ref="Q22:T22" r:id="rId1" location="kintowarigaku" display="区ホームページ：国民健康保険料 " xr:uid="{164190B7-5EBE-43FE-8E90-C092EF10695E}"/>
  </hyperlinks>
  <pageMargins left="0.75" right="0.75" top="1" bottom="1" header="0.5" footer="0.5"/>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3"/>
  <sheetViews>
    <sheetView workbookViewId="0">
      <selection activeCell="E5" sqref="E5"/>
    </sheetView>
  </sheetViews>
  <sheetFormatPr defaultRowHeight="11.5" x14ac:dyDescent="0.2"/>
  <cols>
    <col min="1" max="1" width="13.7265625" style="7" customWidth="1"/>
    <col min="2" max="2" width="11.90625" style="7" customWidth="1"/>
    <col min="3" max="3" width="5.1796875" style="7" customWidth="1"/>
    <col min="4" max="23" width="10.6328125" style="7" customWidth="1"/>
    <col min="24" max="24" width="8.7265625" style="7" customWidth="1"/>
    <col min="25" max="16384" width="8.7265625" style="7"/>
  </cols>
  <sheetData>
    <row r="1" spans="1:23" ht="15" customHeight="1" x14ac:dyDescent="0.2">
      <c r="A1" s="42" t="s">
        <v>147</v>
      </c>
    </row>
    <row r="3" spans="1:23" ht="26" customHeight="1" x14ac:dyDescent="0.2">
      <c r="A3" s="12" t="s">
        <v>6</v>
      </c>
      <c r="B3" s="43">
        <f>DATE(設定!B34,4,1)</f>
        <v>46113</v>
      </c>
      <c r="D3" s="44" t="s">
        <v>35</v>
      </c>
      <c r="E3" s="51" t="str">
        <f>設定!B34&amp;"年度（4月～翌3月）"</f>
        <v>2026年度（4月～翌3月）</v>
      </c>
      <c r="O3" s="30"/>
    </row>
    <row r="4" spans="1:23" ht="26" customHeight="1" x14ac:dyDescent="0.2">
      <c r="A4" s="12" t="s">
        <v>7</v>
      </c>
      <c r="B4" s="43">
        <f>DATE(設定!B34+1,3,31)</f>
        <v>46477</v>
      </c>
      <c r="D4" s="44" t="s">
        <v>9</v>
      </c>
      <c r="E4" s="41">
        <f>試算シート!B8</f>
        <v>0</v>
      </c>
      <c r="O4" s="45"/>
      <c r="P4" s="46"/>
    </row>
    <row r="5" spans="1:23" ht="26" customHeight="1" x14ac:dyDescent="0.2">
      <c r="A5" s="12" t="s">
        <v>8</v>
      </c>
      <c r="B5" s="43">
        <f>DATE(設定!B34+1,4,1)</f>
        <v>46478</v>
      </c>
      <c r="D5" s="44" t="s">
        <v>36</v>
      </c>
      <c r="E5" s="47">
        <f>計算!B8</f>
        <v>12</v>
      </c>
      <c r="O5" s="45"/>
      <c r="P5" s="46"/>
    </row>
    <row r="6" spans="1:23" ht="26" customHeight="1" x14ac:dyDescent="0.2">
      <c r="A6" s="12" t="s">
        <v>9</v>
      </c>
      <c r="B6" s="41">
        <f>試算シート!$B$8</f>
        <v>0</v>
      </c>
      <c r="O6" s="45"/>
      <c r="P6" s="46"/>
    </row>
    <row r="7" spans="1:23" ht="26" customHeight="1" x14ac:dyDescent="0.2">
      <c r="A7" s="12" t="s">
        <v>10</v>
      </c>
      <c r="B7" s="41">
        <f>IF(B6="","",DATE(YEAR(B6),MONTH(B6),1))</f>
        <v>1</v>
      </c>
      <c r="O7" s="45"/>
      <c r="P7" s="48"/>
    </row>
    <row r="8" spans="1:23" ht="26" customHeight="1" x14ac:dyDescent="0.2">
      <c r="A8" s="12" t="s">
        <v>11</v>
      </c>
      <c r="B8" s="47">
        <f>IF(B6="","",IF(B7&gt;=B5,0,MAX(0,DATEDIF(IF(B7&lt;B3,B3,B7),B5,"m"))))</f>
        <v>12</v>
      </c>
      <c r="D8" s="12" t="s">
        <v>37</v>
      </c>
      <c r="E8" s="47">
        <f>IF(計算!E5="","",計算!E5/12)</f>
        <v>1</v>
      </c>
      <c r="O8" s="45"/>
      <c r="P8" s="48"/>
    </row>
    <row r="10" spans="1:23" x14ac:dyDescent="0.2">
      <c r="A10" s="21" t="s">
        <v>95</v>
      </c>
    </row>
    <row r="11" spans="1:23" ht="41.5" customHeight="1" x14ac:dyDescent="0.2">
      <c r="A11" s="13" t="s">
        <v>93</v>
      </c>
      <c r="B11" s="13" t="s">
        <v>1</v>
      </c>
      <c r="C11" s="13" t="s">
        <v>2</v>
      </c>
      <c r="D11" s="13" t="s">
        <v>3</v>
      </c>
      <c r="E11" s="13" t="s">
        <v>12</v>
      </c>
      <c r="F11" s="13" t="s">
        <v>4</v>
      </c>
      <c r="G11" s="13" t="s">
        <v>5</v>
      </c>
      <c r="H11" s="13" t="s">
        <v>13</v>
      </c>
      <c r="I11" s="13" t="s">
        <v>14</v>
      </c>
      <c r="J11" s="13" t="s">
        <v>15</v>
      </c>
      <c r="K11" s="13" t="s">
        <v>16</v>
      </c>
      <c r="L11" s="13" t="s">
        <v>17</v>
      </c>
      <c r="M11" s="13" t="s">
        <v>18</v>
      </c>
      <c r="N11" s="13" t="s">
        <v>19</v>
      </c>
      <c r="O11" s="13" t="s">
        <v>20</v>
      </c>
      <c r="P11" s="13" t="s">
        <v>21</v>
      </c>
      <c r="Q11" s="13" t="s">
        <v>22</v>
      </c>
      <c r="R11" s="13" t="s">
        <v>23</v>
      </c>
      <c r="S11" s="13" t="s">
        <v>24</v>
      </c>
      <c r="T11" s="13" t="s">
        <v>25</v>
      </c>
      <c r="U11" s="13" t="s">
        <v>26</v>
      </c>
      <c r="V11" s="13" t="s">
        <v>27</v>
      </c>
      <c r="W11" s="13" t="s">
        <v>28</v>
      </c>
    </row>
    <row r="12" spans="1:23" x14ac:dyDescent="0.2">
      <c r="A12" s="50">
        <f>試算シート!A12</f>
        <v>1</v>
      </c>
      <c r="B12" s="51" t="str">
        <f>試算シート!B12</f>
        <v>擬主</v>
      </c>
      <c r="C12" s="52">
        <f>試算シート!C12</f>
        <v>0</v>
      </c>
      <c r="D12" s="53">
        <f>試算シート!D12</f>
        <v>0</v>
      </c>
      <c r="E12" s="53">
        <f>試算シート!E12</f>
        <v>0</v>
      </c>
      <c r="F12" s="53">
        <f>試算シート!F12</f>
        <v>0</v>
      </c>
      <c r="G12" s="51">
        <f>試算シート!G12</f>
        <v>0</v>
      </c>
      <c r="H12" s="53">
        <f>IF(G12="はい",D12*設定!$B$20,D12)</f>
        <v>0</v>
      </c>
      <c r="I12" s="53">
        <f>H12+E12+F12</f>
        <v>0</v>
      </c>
      <c r="J12" s="53">
        <f>IF(I12&lt;=設定!$B$25,設定!$B$21,IF(I12&lt;=設定!$B$26,設定!$B$22,IF(I12&lt;=設定!$B$27,設定!$B$23,設定!$B$24)))</f>
        <v>430000</v>
      </c>
      <c r="K12" s="53">
        <f>IF(B12="加入",MAX(0,I12-J12),0)</f>
        <v>0</v>
      </c>
      <c r="L12" s="53">
        <f>ROUND(K12*設定!$B$4,0)</f>
        <v>0</v>
      </c>
      <c r="M12" s="53">
        <f>ROUND(K12*設定!$B$5,0)</f>
        <v>0</v>
      </c>
      <c r="N12" s="53">
        <f>IF(AND(C12&gt;=設定!$B$16,C12&lt;=設定!$B$17,B12="加入"),ROUND(K12*設定!$B$6,0),0)</f>
        <v>0</v>
      </c>
      <c r="O12" s="53">
        <f>ROUND(K12*設定!$B$7,0)</f>
        <v>0</v>
      </c>
      <c r="P12" s="53">
        <f t="shared" ref="P12:P21" si="0">SUM(L12:O12)</f>
        <v>0</v>
      </c>
      <c r="Q12" s="53">
        <f>IF(B12="加入",ROUND(設定!$B$8*$B$32*IF(C12&lt;=設定!$B$35,設定!$B$19,1),0),0)</f>
        <v>0</v>
      </c>
      <c r="R12" s="53">
        <f>IF(B12="加入",ROUND(設定!$B$9*$B$32*IF(C12&lt;=設定!$B$35,設定!$B$19,1),0),0)</f>
        <v>0</v>
      </c>
      <c r="S12" s="53">
        <f>IF(AND(B12="加入",C12&gt;=設定!$B$16,C12&lt;=設定!$B$17),ROUND(設定!$B$10*$B$32*IF(C12&lt;=設定!$B$35,設定!$B$19,1),0),0)</f>
        <v>0</v>
      </c>
      <c r="T12" s="53">
        <f>IF(AND(B12="加入",C12&gt;設定!$B$18),ROUND(設定!$B$11*$B$32*IF(C12&lt;=設定!$B$35,設定!$B$19,1),0),0)</f>
        <v>0</v>
      </c>
      <c r="U12" s="53">
        <f>SUM(Q12:T12)</f>
        <v>0</v>
      </c>
      <c r="V12" s="53">
        <f>IF(A12=1,(IF(AND(G12="はい",OR(A12&lt;&gt;1,B12="加入")),D12*設定!$B20,D12))+(IF(C12&gt;=65,MAX(0,E12-設定!$B$32),E12))+F12,IF(B12="加入",(IF(AND(G12="はい",OR(A12&lt;&gt;1,B12="加入")),D12*設定!$B20,D12))+(IF(C12&gt;=65,MAX(0,E12-設定!$B$32),E12))+F12,0))</f>
        <v>0</v>
      </c>
      <c r="W12" s="51">
        <f>IF(OR(A12=1,B12="加入"),IF(OR(D12&gt;0,IF(C12&lt;65,E12&gt;0,(E12-設定!$B$32)&gt;0)),1,0),0)</f>
        <v>0</v>
      </c>
    </row>
    <row r="13" spans="1:23" x14ac:dyDescent="0.2">
      <c r="A13" s="50">
        <f>試算シート!A13</f>
        <v>2</v>
      </c>
      <c r="B13" s="51">
        <f>試算シート!B13</f>
        <v>0</v>
      </c>
      <c r="C13" s="52">
        <f>試算シート!C13</f>
        <v>0</v>
      </c>
      <c r="D13" s="53">
        <f>試算シート!D13</f>
        <v>0</v>
      </c>
      <c r="E13" s="53">
        <f>試算シート!E13</f>
        <v>0</v>
      </c>
      <c r="F13" s="53">
        <f>試算シート!F13</f>
        <v>0</v>
      </c>
      <c r="G13" s="51">
        <f>試算シート!G13</f>
        <v>0</v>
      </c>
      <c r="H13" s="53">
        <f>IF(G13="はい",D13*設定!$B$20,D13)</f>
        <v>0</v>
      </c>
      <c r="I13" s="53">
        <f>H13+E13+F13</f>
        <v>0</v>
      </c>
      <c r="J13" s="53">
        <f>IF(I13&lt;=設定!$B$25,設定!$B$21,IF(I13&lt;=設定!$B$26,設定!$B$22,IF(I13&lt;=設定!$B$27,設定!$B$23,設定!$B$24)))</f>
        <v>430000</v>
      </c>
      <c r="K13" s="53">
        <f t="shared" ref="K13:K21" si="1">IF(B13="加入",MAX(0,I13-J13),0)</f>
        <v>0</v>
      </c>
      <c r="L13" s="53">
        <f>ROUND(K13*設定!$B$4,0)</f>
        <v>0</v>
      </c>
      <c r="M13" s="53">
        <f>ROUND(K13*設定!$B$5,0)</f>
        <v>0</v>
      </c>
      <c r="N13" s="53">
        <f>IF(AND(C13&gt;=設定!$B$16,C13&lt;=設定!$B$17,B13="加入"),ROUND(K13*設定!$B$6,0),0)</f>
        <v>0</v>
      </c>
      <c r="O13" s="53">
        <f>ROUND(K13*設定!$B$7,0)</f>
        <v>0</v>
      </c>
      <c r="P13" s="53">
        <f t="shared" si="0"/>
        <v>0</v>
      </c>
      <c r="Q13" s="53">
        <f>IF(B13="加入",ROUND(設定!$B$8*$B$32*IF(C13&lt;=設定!$B$35,設定!$B$19,1),0),0)</f>
        <v>0</v>
      </c>
      <c r="R13" s="53">
        <f>IF(B13="加入",ROUND(設定!$B$9*$B$32*IF(C13&lt;=設定!$B$35,設定!$B$19,1),0),0)</f>
        <v>0</v>
      </c>
      <c r="S13" s="53">
        <f>IF(AND(B13="加入",C13&gt;=設定!$B$16,C13&lt;=設定!$B$17),ROUND(設定!$B$10*$B$32*IF(C13&lt;=設定!$B$35,設定!$B$19,1),0),0)</f>
        <v>0</v>
      </c>
      <c r="T13" s="53">
        <f>IF(AND(B13="加入",C13&gt;設定!$B$18),ROUND(設定!$B$11*$B$32*IF(C13&lt;=設定!$B$35,設定!$B$19,1),0),0)</f>
        <v>0</v>
      </c>
      <c r="U13" s="53">
        <f t="shared" ref="U13:U21" si="2">SUM(Q13:T13)</f>
        <v>0</v>
      </c>
      <c r="V13" s="53">
        <f>IF(A13=1,(IF(AND(G13="はい",OR(A13&lt;&gt;1,B13="加入")),D13*設定!$B20,D13))+(IF(C13&gt;=65,MAX(0,E13-設定!$B$32),E13))+F13,IF(B13="加入",(IF(AND(G13="はい",OR(A13&lt;&gt;1,B13="加入")),D13*設定!$B20,D13))+(IF(C13&gt;=65,MAX(0,E13-設定!$B$32),E13))+F13,0))</f>
        <v>0</v>
      </c>
      <c r="W13" s="51">
        <f>IF(OR(A13=1,B13="加入"),IF(OR(D13&gt;0,IF(C13&lt;65,E13&gt;0,(E13-設定!$B$32)&gt;0)),1,0),0)</f>
        <v>0</v>
      </c>
    </row>
    <row r="14" spans="1:23" x14ac:dyDescent="0.2">
      <c r="A14" s="50">
        <f>試算シート!A14</f>
        <v>3</v>
      </c>
      <c r="B14" s="51">
        <f>試算シート!B14</f>
        <v>0</v>
      </c>
      <c r="C14" s="52">
        <f>試算シート!C14</f>
        <v>0</v>
      </c>
      <c r="D14" s="53">
        <f>試算シート!D14</f>
        <v>0</v>
      </c>
      <c r="E14" s="53">
        <f>試算シート!E14</f>
        <v>0</v>
      </c>
      <c r="F14" s="53">
        <f>試算シート!F14</f>
        <v>0</v>
      </c>
      <c r="G14" s="51">
        <f>試算シート!G14</f>
        <v>0</v>
      </c>
      <c r="H14" s="53">
        <f>IF(G14="はい",D14*設定!$B$20,D14)</f>
        <v>0</v>
      </c>
      <c r="I14" s="53">
        <f t="shared" ref="I14:I21" si="3">H14+E14+F14</f>
        <v>0</v>
      </c>
      <c r="J14" s="53">
        <f>IF(I14&lt;=設定!$B$25,設定!$B$21,IF(I14&lt;=設定!$B$26,設定!$B$22,IF(I14&lt;=設定!$B$27,設定!$B$23,設定!$B$24)))</f>
        <v>430000</v>
      </c>
      <c r="K14" s="53">
        <f t="shared" si="1"/>
        <v>0</v>
      </c>
      <c r="L14" s="53">
        <f>ROUND(K14*設定!$B$4,0)</f>
        <v>0</v>
      </c>
      <c r="M14" s="53">
        <f>ROUND(K14*設定!$B$5,0)</f>
        <v>0</v>
      </c>
      <c r="N14" s="53">
        <f>IF(AND(C14&gt;=設定!$B$16,C14&lt;=設定!$B$17,B14="加入"),ROUND(K14*設定!$B$6,0),0)</f>
        <v>0</v>
      </c>
      <c r="O14" s="53">
        <f>ROUND(K14*設定!$B$7,0)</f>
        <v>0</v>
      </c>
      <c r="P14" s="53">
        <f t="shared" si="0"/>
        <v>0</v>
      </c>
      <c r="Q14" s="53">
        <f>IF(B14="加入",ROUND(設定!$B$8*$B$32*IF(C14&lt;=設定!$B$35,設定!$B$19,1),0),0)</f>
        <v>0</v>
      </c>
      <c r="R14" s="53">
        <f>IF(B14="加入",ROUND(設定!$B$9*$B$32*IF(C14&lt;=設定!$B$35,設定!$B$19,1),0),0)</f>
        <v>0</v>
      </c>
      <c r="S14" s="53">
        <f>IF(AND(B14="加入",C14&gt;=設定!$B$16,C14&lt;=設定!$B$17),ROUND(設定!$B$10*$B$32*IF(C14&lt;=設定!$B$35,設定!$B$19,1),0),0)</f>
        <v>0</v>
      </c>
      <c r="T14" s="53">
        <f>IF(AND(B14="加入",C14&gt;設定!$B$18),ROUND(設定!$B$11*$B$32*IF(C14&lt;=設定!$B$35,設定!$B$19,1),0),0)</f>
        <v>0</v>
      </c>
      <c r="U14" s="53">
        <f t="shared" si="2"/>
        <v>0</v>
      </c>
      <c r="V14" s="53">
        <f>IF(A14=1,(IF(AND(G14="はい",OR(A14&lt;&gt;1,B14="加入")),D14*設定!$B20,D14))+(IF(C14&gt;=65,MAX(0,E14-設定!$B$32),E14))+F14,IF(B14="加入",(IF(AND(G14="はい",OR(A14&lt;&gt;1,B14="加入")),D14*設定!$B20,D14))+(IF(C14&gt;=65,MAX(0,E14-設定!$B$32),E14))+F14,0))</f>
        <v>0</v>
      </c>
      <c r="W14" s="51">
        <f>IF(OR(A14=1,B14="加入"),IF(OR(D14&gt;0,IF(C14&lt;65,E14&gt;0,(E14-設定!$B$32)&gt;0)),1,0),0)</f>
        <v>0</v>
      </c>
    </row>
    <row r="15" spans="1:23" x14ac:dyDescent="0.2">
      <c r="A15" s="50">
        <f>試算シート!A15</f>
        <v>4</v>
      </c>
      <c r="B15" s="51">
        <f>試算シート!B15</f>
        <v>0</v>
      </c>
      <c r="C15" s="52">
        <f>試算シート!C15</f>
        <v>0</v>
      </c>
      <c r="D15" s="53">
        <f>試算シート!D15</f>
        <v>0</v>
      </c>
      <c r="E15" s="53">
        <f>試算シート!E15</f>
        <v>0</v>
      </c>
      <c r="F15" s="53">
        <f>試算シート!F15</f>
        <v>0</v>
      </c>
      <c r="G15" s="51">
        <f>試算シート!G15</f>
        <v>0</v>
      </c>
      <c r="H15" s="53">
        <f>IF(G15="はい",D15*設定!$B$20,D15)</f>
        <v>0</v>
      </c>
      <c r="I15" s="53">
        <f t="shared" si="3"/>
        <v>0</v>
      </c>
      <c r="J15" s="53">
        <f>IF(I15&lt;=設定!$B$25,設定!$B$21,IF(I15&lt;=設定!$B$26,設定!$B$22,IF(I15&lt;=設定!$B$27,設定!$B$23,設定!$B$24)))</f>
        <v>430000</v>
      </c>
      <c r="K15" s="53">
        <f>IF(B15="加入",MAX(0,I15-J15),0)</f>
        <v>0</v>
      </c>
      <c r="L15" s="53">
        <f>ROUND(K15*設定!$B$4,0)</f>
        <v>0</v>
      </c>
      <c r="M15" s="53">
        <f>ROUND(K15*設定!$B$5,0)</f>
        <v>0</v>
      </c>
      <c r="N15" s="53">
        <f>IF(AND(C15&gt;=設定!$B$16,C15&lt;=設定!$B$17,B15="加入"),ROUND(K15*設定!$B$6,0),0)</f>
        <v>0</v>
      </c>
      <c r="O15" s="53">
        <f>ROUND(K15*設定!$B$7,0)</f>
        <v>0</v>
      </c>
      <c r="P15" s="53">
        <f t="shared" si="0"/>
        <v>0</v>
      </c>
      <c r="Q15" s="53">
        <f>IF(B15="加入",ROUND(設定!$B$8*$B$32*IF(C15&lt;=設定!$B$35,設定!$B$19,1),0),0)</f>
        <v>0</v>
      </c>
      <c r="R15" s="53">
        <f>IF(B15="加入",ROUND(設定!$B$9*$B$32*IF(C15&lt;=設定!$B$35,設定!$B$19,1),0),0)</f>
        <v>0</v>
      </c>
      <c r="S15" s="53">
        <f>IF(AND(B15="加入",C15&gt;=設定!$B$16,C15&lt;=設定!$B$17),ROUND(設定!$B$10*$B$32*IF(C15&lt;=設定!$B$35,設定!$B$19,1),0),0)</f>
        <v>0</v>
      </c>
      <c r="T15" s="53">
        <f>IF(AND(B15="加入",C15&gt;設定!$B$18),ROUND(設定!$B$11*$B$32*IF(C15&lt;=設定!$B$35,設定!$B$19,1),0),0)</f>
        <v>0</v>
      </c>
      <c r="U15" s="53">
        <f t="shared" si="2"/>
        <v>0</v>
      </c>
      <c r="V15" s="53">
        <f>IF(A15=1,(IF(AND(G15="はい",OR(A15&lt;&gt;1,B15="加入")),D15*設定!$B20,D15))+(IF(C15&gt;=65,MAX(0,E15-設定!$B$32),E15))+F15,IF(B15="加入",(IF(AND(G15="はい",OR(A15&lt;&gt;1,B15="加入")),D15*設定!$B20,D15))+(IF(C15&gt;=65,MAX(0,E15-設定!$B$32),E15))+F15,0))</f>
        <v>0</v>
      </c>
      <c r="W15" s="51">
        <f>IF(OR(A15=1,B15="加入"),IF(OR(D15&gt;0,IF(C15&lt;65,E15&gt;0,(E15-設定!$B$32)&gt;0)),1,0),0)</f>
        <v>0</v>
      </c>
    </row>
    <row r="16" spans="1:23" x14ac:dyDescent="0.2">
      <c r="A16" s="50">
        <f>試算シート!A16</f>
        <v>5</v>
      </c>
      <c r="B16" s="51">
        <f>試算シート!B16</f>
        <v>0</v>
      </c>
      <c r="C16" s="52">
        <f>試算シート!C16</f>
        <v>0</v>
      </c>
      <c r="D16" s="53">
        <f>試算シート!D16</f>
        <v>0</v>
      </c>
      <c r="E16" s="53">
        <f>試算シート!E16</f>
        <v>0</v>
      </c>
      <c r="F16" s="53">
        <f>試算シート!F16</f>
        <v>0</v>
      </c>
      <c r="G16" s="51">
        <f>試算シート!G16</f>
        <v>0</v>
      </c>
      <c r="H16" s="53">
        <f>IF(G16="はい",D16*設定!$B$20,D16)</f>
        <v>0</v>
      </c>
      <c r="I16" s="53">
        <f t="shared" si="3"/>
        <v>0</v>
      </c>
      <c r="J16" s="53">
        <f>IF(I16&lt;=設定!$B$25,設定!$B$21,IF(I16&lt;=設定!$B$26,設定!$B$22,IF(I16&lt;=設定!$B$27,設定!$B$23,設定!$B$24)))</f>
        <v>430000</v>
      </c>
      <c r="K16" s="53">
        <f t="shared" si="1"/>
        <v>0</v>
      </c>
      <c r="L16" s="53">
        <f>ROUND(K16*設定!$B$4,0)</f>
        <v>0</v>
      </c>
      <c r="M16" s="53">
        <f>ROUND(K16*設定!$B$5,0)</f>
        <v>0</v>
      </c>
      <c r="N16" s="53">
        <f>IF(AND(C16&gt;=設定!$B$16,C16&lt;=設定!$B$17,B16="加入"),ROUND(K16*設定!$B$6,0),0)</f>
        <v>0</v>
      </c>
      <c r="O16" s="53">
        <f>ROUND(K16*設定!$B$7,0)</f>
        <v>0</v>
      </c>
      <c r="P16" s="53">
        <f t="shared" si="0"/>
        <v>0</v>
      </c>
      <c r="Q16" s="53">
        <f>IF(B16="加入",ROUND(設定!$B$8*$B$32*IF(C16&lt;=設定!$B$35,設定!$B$19,1),0),0)</f>
        <v>0</v>
      </c>
      <c r="R16" s="53">
        <f>IF(B16="加入",ROUND(設定!$B$9*$B$32*IF(C16&lt;=設定!$B$35,設定!$B$19,1),0),0)</f>
        <v>0</v>
      </c>
      <c r="S16" s="53">
        <f>IF(AND(B16="加入",C16&gt;=設定!$B$16,C16&lt;=設定!$B$17),ROUND(設定!$B$10*$B$32*IF(C16&lt;=設定!$B$35,設定!$B$19,1),0),0)</f>
        <v>0</v>
      </c>
      <c r="T16" s="53">
        <f>IF(AND(B16="加入",C16&gt;設定!$B$18),ROUND(設定!$B$11*$B$32*IF(C16&lt;=設定!$B$35,設定!$B$19,1),0),0)</f>
        <v>0</v>
      </c>
      <c r="U16" s="53">
        <f t="shared" si="2"/>
        <v>0</v>
      </c>
      <c r="V16" s="53">
        <f>IF(A16=1,(IF(AND(G16="はい",OR(A16&lt;&gt;1,B16="加入")),D16*設定!$B20,D16))+(IF(C16&gt;=65,MAX(0,E16-設定!$B$32),E16))+F16,IF(B16="加入",(IF(AND(G16="はい",OR(A16&lt;&gt;1,B16="加入")),D16*設定!$B20,D16))+(IF(C16&gt;=65,MAX(0,E16-設定!$B$32),E16))+F16,0))</f>
        <v>0</v>
      </c>
      <c r="W16" s="51">
        <f>IF(OR(A16=1,B16="加入"),IF(OR(D16&gt;0,IF(C16&lt;65,E16&gt;0,(E16-設定!$B$32)&gt;0)),1,0),0)</f>
        <v>0</v>
      </c>
    </row>
    <row r="17" spans="1:23" x14ac:dyDescent="0.2">
      <c r="A17" s="50">
        <f>試算シート!A17</f>
        <v>6</v>
      </c>
      <c r="B17" s="51">
        <f>試算シート!B17</f>
        <v>0</v>
      </c>
      <c r="C17" s="52">
        <f>試算シート!C17</f>
        <v>0</v>
      </c>
      <c r="D17" s="53">
        <f>試算シート!D17</f>
        <v>0</v>
      </c>
      <c r="E17" s="53">
        <f>試算シート!E17</f>
        <v>0</v>
      </c>
      <c r="F17" s="53">
        <f>試算シート!F17</f>
        <v>0</v>
      </c>
      <c r="G17" s="51">
        <f>試算シート!G17</f>
        <v>0</v>
      </c>
      <c r="H17" s="53">
        <f>IF(G17="はい",D17*設定!$B$20,D17)</f>
        <v>0</v>
      </c>
      <c r="I17" s="53">
        <f t="shared" si="3"/>
        <v>0</v>
      </c>
      <c r="J17" s="53">
        <f>IF(I17&lt;=設定!$B$25,設定!$B$21,IF(I17&lt;=設定!$B$26,設定!$B$22,IF(I17&lt;=設定!$B$27,設定!$B$23,設定!$B$24)))</f>
        <v>430000</v>
      </c>
      <c r="K17" s="53">
        <f t="shared" si="1"/>
        <v>0</v>
      </c>
      <c r="L17" s="53">
        <f>ROUND(K17*設定!$B$4,0)</f>
        <v>0</v>
      </c>
      <c r="M17" s="53">
        <f>ROUND(K17*設定!$B$5,0)</f>
        <v>0</v>
      </c>
      <c r="N17" s="53">
        <f>IF(AND(C17&gt;=設定!$B$16,C17&lt;=設定!$B$17,B17="加入"),ROUND(K17*設定!$B$6,0),0)</f>
        <v>0</v>
      </c>
      <c r="O17" s="53">
        <f>ROUND(K17*設定!$B$7,0)</f>
        <v>0</v>
      </c>
      <c r="P17" s="53">
        <f t="shared" si="0"/>
        <v>0</v>
      </c>
      <c r="Q17" s="53">
        <f>IF(B17="加入",ROUND(設定!$B$8*$B$32*IF(C17&lt;=設定!$B$35,設定!$B$19,1),0),0)</f>
        <v>0</v>
      </c>
      <c r="R17" s="53">
        <f>IF(B17="加入",ROUND(設定!$B$9*$B$32*IF(C17&lt;=設定!$B$35,設定!$B$19,1),0),0)</f>
        <v>0</v>
      </c>
      <c r="S17" s="53">
        <f>IF(AND(B17="加入",C17&gt;=設定!$B$16,C17&lt;=設定!$B$17),ROUND(設定!$B$10*$B$32*IF(C17&lt;=設定!$B$35,設定!$B$19,1),0),0)</f>
        <v>0</v>
      </c>
      <c r="T17" s="53">
        <f>IF(AND(B17="加入",C17&gt;設定!$B$18),ROUND(設定!$B$11*$B$32*IF(C17&lt;=設定!$B$35,設定!$B$19,1),0),0)</f>
        <v>0</v>
      </c>
      <c r="U17" s="53">
        <f t="shared" si="2"/>
        <v>0</v>
      </c>
      <c r="V17" s="53">
        <f>IF(A17=1,(IF(AND(G17="はい",OR(A17&lt;&gt;1,B17="加入")),D17*設定!$B20,D17))+(IF(C17&gt;=65,MAX(0,E17-設定!$B$32),E17))+F17,IF(B17="加入",(IF(AND(G17="はい",OR(A17&lt;&gt;1,B17="加入")),D17*設定!$B20,D17))+(IF(C17&gt;=65,MAX(0,E17-設定!$B$32),E17))+F17,0))</f>
        <v>0</v>
      </c>
      <c r="W17" s="51">
        <f>IF(OR(A17=1,B17="加入"),IF(OR(D17&gt;0,IF(C17&lt;65,E17&gt;0,(E17-設定!$B$32)&gt;0)),1,0),0)</f>
        <v>0</v>
      </c>
    </row>
    <row r="18" spans="1:23" x14ac:dyDescent="0.2">
      <c r="A18" s="50">
        <f>試算シート!A18</f>
        <v>7</v>
      </c>
      <c r="B18" s="51">
        <f>試算シート!B18</f>
        <v>0</v>
      </c>
      <c r="C18" s="52">
        <f>試算シート!C18</f>
        <v>0</v>
      </c>
      <c r="D18" s="53">
        <f>試算シート!D18</f>
        <v>0</v>
      </c>
      <c r="E18" s="53">
        <f>試算シート!E18</f>
        <v>0</v>
      </c>
      <c r="F18" s="53">
        <f>試算シート!F18</f>
        <v>0</v>
      </c>
      <c r="G18" s="51">
        <f>試算シート!G18</f>
        <v>0</v>
      </c>
      <c r="H18" s="53">
        <f>IF(G18="はい",D18*設定!$B$20,D18)</f>
        <v>0</v>
      </c>
      <c r="I18" s="53">
        <f t="shared" si="3"/>
        <v>0</v>
      </c>
      <c r="J18" s="53">
        <f>IF(I18&lt;=設定!$B$25,設定!$B$21,IF(I18&lt;=設定!$B$26,設定!$B$22,IF(I18&lt;=設定!$B$27,設定!$B$23,設定!$B$24)))</f>
        <v>430000</v>
      </c>
      <c r="K18" s="53">
        <f t="shared" si="1"/>
        <v>0</v>
      </c>
      <c r="L18" s="53">
        <f>ROUND(K18*設定!$B$4,0)</f>
        <v>0</v>
      </c>
      <c r="M18" s="53">
        <f>ROUND(K18*設定!$B$5,0)</f>
        <v>0</v>
      </c>
      <c r="N18" s="53">
        <f>IF(AND(C18&gt;=設定!$B$16,C18&lt;=設定!$B$17,B18="加入"),ROUND(K18*設定!$B$6,0),0)</f>
        <v>0</v>
      </c>
      <c r="O18" s="53">
        <f>ROUND(K18*設定!$B$7,0)</f>
        <v>0</v>
      </c>
      <c r="P18" s="53">
        <f t="shared" si="0"/>
        <v>0</v>
      </c>
      <c r="Q18" s="53">
        <f>IF(B18="加入",ROUND(設定!$B$8*$B$32*IF(C18&lt;=設定!$B$35,設定!$B$19,1),0),0)</f>
        <v>0</v>
      </c>
      <c r="R18" s="53">
        <f>IF(B18="加入",ROUND(設定!$B$9*$B$32*IF(C18&lt;=設定!$B$35,設定!$B$19,1),0),0)</f>
        <v>0</v>
      </c>
      <c r="S18" s="53">
        <f>IF(AND(B18="加入",C18&gt;=設定!$B$16,C18&lt;=設定!$B$17),ROUND(設定!$B$10*$B$32*IF(C18&lt;=設定!$B$35,設定!$B$19,1),0),0)</f>
        <v>0</v>
      </c>
      <c r="T18" s="53">
        <f>IF(AND(B18="加入",C18&gt;設定!$B$18),ROUND(設定!$B$11*$B$32*IF(C18&lt;=設定!$B$35,設定!$B$19,1),0),0)</f>
        <v>0</v>
      </c>
      <c r="U18" s="53">
        <f t="shared" si="2"/>
        <v>0</v>
      </c>
      <c r="V18" s="53">
        <f>IF(A18=1,(IF(AND(G18="はい",OR(A18&lt;&gt;1,B18="加入")),D18*設定!$B20,D18))+(IF(C18&gt;=65,MAX(0,E18-設定!$B$32),E18))+F18,IF(B18="加入",(IF(AND(G18="はい",OR(A18&lt;&gt;1,B18="加入")),D18*設定!$B20,D18))+(IF(C18&gt;=65,MAX(0,E18-設定!$B$32),E18))+F18,0))</f>
        <v>0</v>
      </c>
      <c r="W18" s="51">
        <f>IF(OR(A18=1,B18="加入"),IF(OR(D18&gt;0,IF(C18&lt;65,E18&gt;0,(E18-設定!$B$32)&gt;0)),1,0),0)</f>
        <v>0</v>
      </c>
    </row>
    <row r="19" spans="1:23" x14ac:dyDescent="0.2">
      <c r="A19" s="50">
        <f>試算シート!A19</f>
        <v>8</v>
      </c>
      <c r="B19" s="51">
        <f>試算シート!B19</f>
        <v>0</v>
      </c>
      <c r="C19" s="52">
        <f>試算シート!C19</f>
        <v>0</v>
      </c>
      <c r="D19" s="53">
        <f>試算シート!D19</f>
        <v>0</v>
      </c>
      <c r="E19" s="53">
        <f>試算シート!E19</f>
        <v>0</v>
      </c>
      <c r="F19" s="53">
        <f>試算シート!F19</f>
        <v>0</v>
      </c>
      <c r="G19" s="51">
        <f>試算シート!G19</f>
        <v>0</v>
      </c>
      <c r="H19" s="53">
        <f>IF(G19="はい",D19*設定!$B$20,D19)</f>
        <v>0</v>
      </c>
      <c r="I19" s="53">
        <f t="shared" si="3"/>
        <v>0</v>
      </c>
      <c r="J19" s="53">
        <f>IF(I19&lt;=設定!$B$25,設定!$B$21,IF(I19&lt;=設定!$B$26,設定!$B$22,IF(I19&lt;=設定!$B$27,設定!$B$23,設定!$B$24)))</f>
        <v>430000</v>
      </c>
      <c r="K19" s="53">
        <f>IF(B19="加入",MAX(0,I19-J19),0)</f>
        <v>0</v>
      </c>
      <c r="L19" s="53">
        <f>ROUND(K19*設定!$B$4,0)</f>
        <v>0</v>
      </c>
      <c r="M19" s="53">
        <f>ROUND(K19*設定!$B$5,0)</f>
        <v>0</v>
      </c>
      <c r="N19" s="53">
        <f>IF(AND(C19&gt;=設定!$B$16,C19&lt;=設定!$B$17,B19="加入"),ROUND(K19*設定!$B$6,0),0)</f>
        <v>0</v>
      </c>
      <c r="O19" s="53">
        <f>ROUND(K19*設定!$B$7,0)</f>
        <v>0</v>
      </c>
      <c r="P19" s="53">
        <f t="shared" si="0"/>
        <v>0</v>
      </c>
      <c r="Q19" s="53">
        <f>IF(B19="加入",ROUND(設定!$B$8*$B$32*IF(C19&lt;=設定!$B$35,設定!$B$19,1),0),0)</f>
        <v>0</v>
      </c>
      <c r="R19" s="53">
        <f>IF(B19="加入",ROUND(設定!$B$9*$B$32*IF(C19&lt;=設定!$B$35,設定!$B$19,1),0),0)</f>
        <v>0</v>
      </c>
      <c r="S19" s="53">
        <f>IF(AND(B19="加入",C19&gt;=設定!$B$16,C19&lt;=設定!$B$17),ROUND(設定!$B$10*$B$32*IF(C19&lt;=設定!$B$35,設定!$B$19,1),0),0)</f>
        <v>0</v>
      </c>
      <c r="T19" s="53">
        <f>IF(AND(B19="加入",C19&gt;設定!$B$18),ROUND(設定!$B$11*$B$32*IF(C19&lt;=設定!$B$35,設定!$B$19,1),0),0)</f>
        <v>0</v>
      </c>
      <c r="U19" s="53">
        <f t="shared" si="2"/>
        <v>0</v>
      </c>
      <c r="V19" s="53">
        <f>IF(A19=1,(IF(AND(G19="はい",OR(A19&lt;&gt;1,B19="加入")),D19*設定!$B20,D19))+(IF(C19&gt;=65,MAX(0,E19-設定!$B$32),E19))+F19,IF(B19="加入",(IF(AND(G19="はい",OR(A19&lt;&gt;1,B19="加入")),D19*設定!$B20,D19))+(IF(C19&gt;=65,MAX(0,E19-設定!$B$32),E19))+F19,0))</f>
        <v>0</v>
      </c>
      <c r="W19" s="51">
        <f>IF(OR(A19=1,B19="加入"),IF(OR(D19&gt;0,IF(C19&lt;65,E19&gt;0,(E19-設定!$B$32)&gt;0)),1,0),0)</f>
        <v>0</v>
      </c>
    </row>
    <row r="20" spans="1:23" x14ac:dyDescent="0.2">
      <c r="A20" s="50">
        <f>試算シート!A20</f>
        <v>9</v>
      </c>
      <c r="B20" s="51">
        <f>試算シート!B20</f>
        <v>0</v>
      </c>
      <c r="C20" s="52">
        <f>試算シート!C20</f>
        <v>0</v>
      </c>
      <c r="D20" s="53">
        <f>試算シート!D20</f>
        <v>0</v>
      </c>
      <c r="E20" s="53">
        <f>試算シート!E20</f>
        <v>0</v>
      </c>
      <c r="F20" s="53">
        <f>試算シート!F20</f>
        <v>0</v>
      </c>
      <c r="G20" s="51">
        <f>試算シート!G20</f>
        <v>0</v>
      </c>
      <c r="H20" s="53">
        <f>IF(G20="はい",D20*設定!$B$20,D20)</f>
        <v>0</v>
      </c>
      <c r="I20" s="53">
        <f>H20+E20+F20</f>
        <v>0</v>
      </c>
      <c r="J20" s="53">
        <f>IF(I20&lt;=設定!$B$25,設定!$B$21,IF(I20&lt;=設定!$B$26,設定!$B$22,IF(I20&lt;=設定!$B$27,設定!$B$23,設定!$B$24)))</f>
        <v>430000</v>
      </c>
      <c r="K20" s="53">
        <f>IF(B20="加入",MAX(0,I20-J20),0)</f>
        <v>0</v>
      </c>
      <c r="L20" s="53">
        <f>ROUND(K20*設定!$B$4,0)</f>
        <v>0</v>
      </c>
      <c r="M20" s="53">
        <f>ROUND(K20*設定!$B$5,0)</f>
        <v>0</v>
      </c>
      <c r="N20" s="53">
        <f>IF(AND(C20&gt;=設定!$B$16,C20&lt;=設定!$B$17,B20="加入"),ROUND(K20*設定!$B$6,0),0)</f>
        <v>0</v>
      </c>
      <c r="O20" s="53">
        <f>ROUND(K20*設定!$B$7,0)</f>
        <v>0</v>
      </c>
      <c r="P20" s="53">
        <f>SUM(L20:O20)</f>
        <v>0</v>
      </c>
      <c r="Q20" s="53">
        <f>IF(B20="加入",ROUND(設定!$B$8*$B$32*IF(C20&lt;=設定!$B$35,設定!$B$19,1),0),0)</f>
        <v>0</v>
      </c>
      <c r="R20" s="53">
        <f>IF(B20="加入",ROUND(設定!$B$9*$B$32*IF(C20&lt;=設定!$B$35,設定!$B$19,1),0),0)</f>
        <v>0</v>
      </c>
      <c r="S20" s="53">
        <f>IF(AND(B20="加入",C20&gt;=設定!$B$16,C20&lt;=設定!$B$17),ROUND(設定!$B$10*$B$32*IF(C20&lt;=設定!$B$35,設定!$B$19,1),0),0)</f>
        <v>0</v>
      </c>
      <c r="T20" s="53">
        <f>IF(AND(B20="加入",C20&gt;設定!$B$18),ROUND(設定!$B$11*$B$32*IF(C20&lt;=設定!$B$35,設定!$B$19,1),0),0)</f>
        <v>0</v>
      </c>
      <c r="U20" s="53">
        <f t="shared" si="2"/>
        <v>0</v>
      </c>
      <c r="V20" s="53">
        <f>IF(A20=1,(IF(AND(G20="はい",OR(A20&lt;&gt;1,B20="加入")),D20*設定!$B20,D20))+(IF(C20&gt;=65,MAX(0,E20-設定!$B$32),E20))+F20,IF(B20="加入",(IF(AND(G20="はい",OR(A20&lt;&gt;1,B20="加入")),D20*設定!$B20,D20))+(IF(C20&gt;=65,MAX(0,E20-設定!$B$32),E20))+F20,0))</f>
        <v>0</v>
      </c>
      <c r="W20" s="51">
        <f>IF(OR(A20=1,B20="加入"),IF(OR(D20&gt;0,IF(C20&lt;65,E20&gt;0,(E20-設定!$B$32)&gt;0)),1,0),0)</f>
        <v>0</v>
      </c>
    </row>
    <row r="21" spans="1:23" x14ac:dyDescent="0.2">
      <c r="A21" s="50">
        <f>試算シート!A21</f>
        <v>10</v>
      </c>
      <c r="B21" s="51">
        <f>試算シート!B21</f>
        <v>0</v>
      </c>
      <c r="C21" s="52">
        <f>試算シート!C21</f>
        <v>0</v>
      </c>
      <c r="D21" s="53">
        <f>試算シート!D21</f>
        <v>0</v>
      </c>
      <c r="E21" s="53">
        <f>試算シート!E21</f>
        <v>0</v>
      </c>
      <c r="F21" s="53">
        <f>試算シート!F21</f>
        <v>0</v>
      </c>
      <c r="G21" s="51">
        <f>試算シート!G21</f>
        <v>0</v>
      </c>
      <c r="H21" s="53">
        <f>IF(G21="はい",D21*設定!$B$20,D21)</f>
        <v>0</v>
      </c>
      <c r="I21" s="53">
        <f t="shared" si="3"/>
        <v>0</v>
      </c>
      <c r="J21" s="53">
        <f>IF(I21&lt;=設定!$B$25,設定!$B$21,IF(I21&lt;=設定!$B$26,設定!$B$22,IF(I21&lt;=設定!$B$27,設定!$B$23,設定!$B$24)))</f>
        <v>430000</v>
      </c>
      <c r="K21" s="53">
        <f t="shared" si="1"/>
        <v>0</v>
      </c>
      <c r="L21" s="53">
        <f>ROUND(K21*設定!$B$4,0)</f>
        <v>0</v>
      </c>
      <c r="M21" s="53">
        <f>ROUND(K21*設定!$B$5,0)</f>
        <v>0</v>
      </c>
      <c r="N21" s="53">
        <f>IF(AND(C21&gt;=設定!$B$16,C21&lt;=設定!$B$17,B21="加入"),ROUND(K21*設定!$B$6,0),0)</f>
        <v>0</v>
      </c>
      <c r="O21" s="53">
        <f>ROUND(K21*設定!$B$7,0)</f>
        <v>0</v>
      </c>
      <c r="P21" s="53">
        <f t="shared" si="0"/>
        <v>0</v>
      </c>
      <c r="Q21" s="53">
        <f>IF(B21="加入",ROUND(設定!$B$8*$B$32*IF(C21&lt;=設定!$B$35,設定!$B$19,1),0),0)</f>
        <v>0</v>
      </c>
      <c r="R21" s="53">
        <f>IF(B21="加入",ROUND(設定!$B$9*$B$32*IF(C21&lt;=設定!$B$35,設定!$B$19,1),0),0)</f>
        <v>0</v>
      </c>
      <c r="S21" s="53">
        <f>IF(AND(B21="加入",C21&gt;=設定!$B$16,C21&lt;=設定!$B$17),ROUND(設定!$B$10*$B$32*IF(C21&lt;=設定!$B$35,設定!$B$19,1),0),0)</f>
        <v>0</v>
      </c>
      <c r="T21" s="53">
        <f>IF(AND(B21="加入",C21&gt;設定!$B$18),ROUND(設定!$B$11*$B$32*IF(C21&lt;=設定!$B$35,設定!$B$19,1),0),0)</f>
        <v>0</v>
      </c>
      <c r="U21" s="53">
        <f t="shared" si="2"/>
        <v>0</v>
      </c>
      <c r="V21" s="53">
        <f>IF(A21=1,(IF(AND(G21="はい",OR(A21&lt;&gt;1,B21="加入")),D21*設定!$B20,D21))+(IF(C21&gt;=65,MAX(0,E21-設定!$B$32),E21))+F21,IF(B21="加入",(IF(AND(G21="はい",OR(A21&lt;&gt;1,B21="加入")),D21*設定!$B20,D21))+(IF(C21&gt;=65,MAX(0,E21-設定!$B$32),E21))+F21,0))</f>
        <v>0</v>
      </c>
      <c r="W21" s="51">
        <f>IF(OR(A21=1,B21="加入"),IF(OR(D21&gt;0,IF(C21&lt;65,E21&gt;0,(E21-設定!$B$32)&gt;0)),1,0),0)</f>
        <v>0</v>
      </c>
    </row>
    <row r="24" spans="1:23" x14ac:dyDescent="0.2">
      <c r="A24" s="30" t="s">
        <v>29</v>
      </c>
      <c r="D24" s="21" t="s">
        <v>94</v>
      </c>
    </row>
    <row r="25" spans="1:23" ht="34.5" customHeight="1" x14ac:dyDescent="0.2">
      <c r="A25" s="12" t="s">
        <v>177</v>
      </c>
      <c r="B25" s="27">
        <f>SUM(V12:V21)</f>
        <v>0</v>
      </c>
      <c r="D25" s="13" t="s">
        <v>38</v>
      </c>
      <c r="E25" s="13" t="s">
        <v>39</v>
      </c>
      <c r="F25" s="13" t="s">
        <v>40</v>
      </c>
      <c r="G25" s="13" t="s">
        <v>41</v>
      </c>
      <c r="H25" s="13" t="s">
        <v>42</v>
      </c>
      <c r="I25" s="13" t="s">
        <v>43</v>
      </c>
      <c r="J25" s="13" t="s">
        <v>44</v>
      </c>
    </row>
    <row r="26" spans="1:23" ht="34.5" customHeight="1" x14ac:dyDescent="0.2">
      <c r="A26" s="12" t="s">
        <v>175</v>
      </c>
      <c r="B26" s="47">
        <f>IF(B12="加入",1,0)+IF(B13="加入",1,0)+IF(B14="加入",1,0)+IF(B15="加入",1,0)+IF(B16="加入",1,0)+IF(B17="加入",1,0)+IF(B18="加入",1,0)+IF(B19="加入",1,0)+IF(B20="加入",1,0)+IF(B21="加入",1,0)</f>
        <v>0</v>
      </c>
      <c r="D26" s="26" t="s">
        <v>45</v>
      </c>
      <c r="E26" s="27">
        <f>SUM(計算!L12:L21)</f>
        <v>0</v>
      </c>
      <c r="F26" s="27">
        <f>SUM(計算!Q12:Q21)</f>
        <v>0</v>
      </c>
      <c r="G26" s="27">
        <f>E26+F26</f>
        <v>0</v>
      </c>
      <c r="H26" s="49">
        <f>設定!$B$12</f>
        <v>670000</v>
      </c>
      <c r="I26" s="27">
        <f>MIN(G26,H26)</f>
        <v>0</v>
      </c>
      <c r="J26" s="27">
        <f>G26-I26</f>
        <v>0</v>
      </c>
    </row>
    <row r="27" spans="1:23" ht="34.5" customHeight="1" x14ac:dyDescent="0.2">
      <c r="A27" s="12" t="s">
        <v>176</v>
      </c>
      <c r="B27" s="47">
        <f>SUM(W12:W21)</f>
        <v>0</v>
      </c>
      <c r="D27" s="26" t="s">
        <v>46</v>
      </c>
      <c r="E27" s="27">
        <f>SUM(計算!M12:M21)</f>
        <v>0</v>
      </c>
      <c r="F27" s="27">
        <f>SUM(計算!R12:R21)</f>
        <v>0</v>
      </c>
      <c r="G27" s="27">
        <f>E27+F27</f>
        <v>0</v>
      </c>
      <c r="H27" s="49">
        <f>設定!$B$13</f>
        <v>260000</v>
      </c>
      <c r="I27" s="27">
        <f>MIN(G27,H27)</f>
        <v>0</v>
      </c>
      <c r="J27" s="27">
        <f>G27-I27</f>
        <v>0</v>
      </c>
    </row>
    <row r="28" spans="1:23" ht="34.5" customHeight="1" x14ac:dyDescent="0.2">
      <c r="A28" s="12" t="s">
        <v>30</v>
      </c>
      <c r="B28" s="47">
        <f>設定!$B$28+MAX(0,B27-1)*設定!$B$29</f>
        <v>430000</v>
      </c>
      <c r="D28" s="26" t="s">
        <v>47</v>
      </c>
      <c r="E28" s="27">
        <f>SUM(計算!N12:N21)</f>
        <v>0</v>
      </c>
      <c r="F28" s="27">
        <f>SUM(計算!S12:S21)</f>
        <v>0</v>
      </c>
      <c r="G28" s="27">
        <f>E28+F28</f>
        <v>0</v>
      </c>
      <c r="H28" s="49">
        <f>設定!$B$14</f>
        <v>170000</v>
      </c>
      <c r="I28" s="27">
        <f>MIN(G28,H28)</f>
        <v>0</v>
      </c>
      <c r="J28" s="27">
        <f>G28-I28</f>
        <v>0</v>
      </c>
    </row>
    <row r="29" spans="1:23" ht="34.5" customHeight="1" x14ac:dyDescent="0.2">
      <c r="A29" s="12" t="s">
        <v>31</v>
      </c>
      <c r="B29" s="47">
        <f>B28+設定!$B$30*B26</f>
        <v>430000</v>
      </c>
      <c r="D29" s="26" t="s">
        <v>48</v>
      </c>
      <c r="E29" s="27">
        <f>SUM(計算!O12:O21)</f>
        <v>0</v>
      </c>
      <c r="F29" s="27">
        <f>SUM(計算!T12:T21)</f>
        <v>0</v>
      </c>
      <c r="G29" s="27">
        <f>E29+F29</f>
        <v>0</v>
      </c>
      <c r="H29" s="49">
        <f>設定!$B$15</f>
        <v>30000</v>
      </c>
      <c r="I29" s="27">
        <f>MIN(G29,H29)</f>
        <v>0</v>
      </c>
      <c r="J29" s="27">
        <f>G29-I29</f>
        <v>0</v>
      </c>
    </row>
    <row r="30" spans="1:23" ht="34.5" customHeight="1" x14ac:dyDescent="0.2">
      <c r="A30" s="12" t="s">
        <v>32</v>
      </c>
      <c r="B30" s="47">
        <f>B28+設定!$B$31*B26</f>
        <v>430000</v>
      </c>
      <c r="D30" s="26" t="s">
        <v>49</v>
      </c>
      <c r="E30" s="27">
        <f>SUM(E26:E29)</f>
        <v>0</v>
      </c>
      <c r="F30" s="27">
        <f>SUM(F26:F29)</f>
        <v>0</v>
      </c>
      <c r="G30" s="27">
        <f>SUM(G26:G29)</f>
        <v>0</v>
      </c>
      <c r="H30" s="27"/>
      <c r="I30" s="49">
        <f>SUM(I26:I29)</f>
        <v>0</v>
      </c>
      <c r="J30" s="27">
        <f>SUM(J26:J29)</f>
        <v>0</v>
      </c>
    </row>
    <row r="31" spans="1:23" ht="34.5" customHeight="1" x14ac:dyDescent="0.2">
      <c r="A31" s="12" t="s">
        <v>33</v>
      </c>
      <c r="B31" s="47">
        <f>IF(B25&lt;=B28,0.7,IF(B25&lt;=B29,0.5,IF(B25&lt;=B30,0.2,0)))</f>
        <v>0.7</v>
      </c>
    </row>
    <row r="32" spans="1:23" ht="34.5" customHeight="1" x14ac:dyDescent="0.2">
      <c r="A32" s="12" t="s">
        <v>34</v>
      </c>
      <c r="B32" s="47">
        <f>1-B31</f>
        <v>0.30000000000000004</v>
      </c>
    </row>
    <row r="33" spans="1:2" ht="35" customHeight="1" x14ac:dyDescent="0.2">
      <c r="A33" s="12" t="s">
        <v>160</v>
      </c>
      <c r="B33" s="47">
        <f>B31*10</f>
        <v>7</v>
      </c>
    </row>
  </sheetData>
  <phoneticPr fontId="1"/>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workbookViewId="0"/>
  </sheetViews>
  <sheetFormatPr defaultRowHeight="13" x14ac:dyDescent="0.2"/>
  <cols>
    <col min="1" max="1" width="42.7265625" style="1" customWidth="1"/>
    <col min="2" max="2" width="18" style="1" customWidth="1"/>
    <col min="3" max="3" width="8.7265625" style="1" customWidth="1"/>
    <col min="4" max="4" width="9.1796875" style="1" customWidth="1"/>
    <col min="5" max="8" width="7.7265625" style="1" customWidth="1"/>
    <col min="9" max="17" width="7.453125" style="1" customWidth="1"/>
    <col min="18" max="16384" width="8.7265625" style="1"/>
  </cols>
  <sheetData>
    <row r="1" spans="1:4" ht="15" customHeight="1" x14ac:dyDescent="0.2">
      <c r="A1" s="2" t="s">
        <v>170</v>
      </c>
    </row>
    <row r="3" spans="1:4" x14ac:dyDescent="0.2">
      <c r="A3" s="4" t="s">
        <v>51</v>
      </c>
      <c r="B3" s="4" t="s">
        <v>52</v>
      </c>
      <c r="D3" s="1" t="s">
        <v>90</v>
      </c>
    </row>
    <row r="4" spans="1:4" x14ac:dyDescent="0.2">
      <c r="A4" s="14" t="s">
        <v>53</v>
      </c>
      <c r="B4" s="3">
        <v>7.51E-2</v>
      </c>
      <c r="D4" s="1" t="s">
        <v>171</v>
      </c>
    </row>
    <row r="5" spans="1:4" x14ac:dyDescent="0.2">
      <c r="A5" s="14" t="s">
        <v>54</v>
      </c>
      <c r="B5" s="3">
        <v>2.8000000000000001E-2</v>
      </c>
      <c r="D5" s="1" t="s">
        <v>172</v>
      </c>
    </row>
    <row r="6" spans="1:4" x14ac:dyDescent="0.2">
      <c r="A6" s="14" t="s">
        <v>55</v>
      </c>
      <c r="B6" s="3">
        <v>2.4299999999999999E-2</v>
      </c>
      <c r="D6" s="1" t="s">
        <v>96</v>
      </c>
    </row>
    <row r="7" spans="1:4" x14ac:dyDescent="0.2">
      <c r="A7" s="14" t="s">
        <v>56</v>
      </c>
      <c r="B7" s="3">
        <v>2.7000000000000001E-3</v>
      </c>
      <c r="D7" s="1" t="s">
        <v>97</v>
      </c>
    </row>
    <row r="8" spans="1:4" x14ac:dyDescent="0.2">
      <c r="A8" s="14" t="s">
        <v>22</v>
      </c>
      <c r="B8" s="3">
        <v>47600</v>
      </c>
      <c r="D8" s="1" t="s">
        <v>98</v>
      </c>
    </row>
    <row r="9" spans="1:4" x14ac:dyDescent="0.2">
      <c r="A9" s="14" t="s">
        <v>23</v>
      </c>
      <c r="B9" s="3">
        <v>17600</v>
      </c>
      <c r="D9" s="1" t="s">
        <v>99</v>
      </c>
    </row>
    <row r="10" spans="1:4" x14ac:dyDescent="0.2">
      <c r="A10" s="14" t="s">
        <v>24</v>
      </c>
      <c r="B10" s="3">
        <v>17800</v>
      </c>
      <c r="D10" s="1" t="s">
        <v>100</v>
      </c>
    </row>
    <row r="11" spans="1:4" x14ac:dyDescent="0.2">
      <c r="A11" s="14" t="s">
        <v>25</v>
      </c>
      <c r="B11" s="3">
        <v>1873</v>
      </c>
      <c r="D11" s="1" t="s">
        <v>104</v>
      </c>
    </row>
    <row r="12" spans="1:4" x14ac:dyDescent="0.2">
      <c r="A12" s="14" t="s">
        <v>57</v>
      </c>
      <c r="B12" s="3">
        <v>670000</v>
      </c>
      <c r="D12" s="1" t="s">
        <v>103</v>
      </c>
    </row>
    <row r="13" spans="1:4" x14ac:dyDescent="0.2">
      <c r="A13" s="14" t="s">
        <v>58</v>
      </c>
      <c r="B13" s="3">
        <v>260000</v>
      </c>
      <c r="D13" s="1" t="s">
        <v>101</v>
      </c>
    </row>
    <row r="14" spans="1:4" x14ac:dyDescent="0.2">
      <c r="A14" s="14" t="s">
        <v>59</v>
      </c>
      <c r="B14" s="3">
        <v>170000</v>
      </c>
      <c r="D14" s="1" t="s">
        <v>102</v>
      </c>
    </row>
    <row r="15" spans="1:4" x14ac:dyDescent="0.2">
      <c r="A15" s="14" t="s">
        <v>60</v>
      </c>
      <c r="B15" s="3">
        <v>30000</v>
      </c>
      <c r="D15" s="1" t="s">
        <v>105</v>
      </c>
    </row>
    <row r="16" spans="1:4" x14ac:dyDescent="0.2">
      <c r="A16" s="14" t="s">
        <v>61</v>
      </c>
      <c r="B16" s="3">
        <v>40</v>
      </c>
      <c r="D16" s="1" t="s">
        <v>106</v>
      </c>
    </row>
    <row r="17" spans="1:17" x14ac:dyDescent="0.2">
      <c r="A17" s="14" t="s">
        <v>62</v>
      </c>
      <c r="B17" s="3">
        <v>64</v>
      </c>
      <c r="D17" s="1" t="s">
        <v>107</v>
      </c>
    </row>
    <row r="18" spans="1:17" ht="13.5" thickBot="1" x14ac:dyDescent="0.25">
      <c r="A18" s="14" t="s">
        <v>179</v>
      </c>
      <c r="B18" s="3">
        <v>18</v>
      </c>
      <c r="D18" s="1" t="s">
        <v>181</v>
      </c>
    </row>
    <row r="19" spans="1:17" x14ac:dyDescent="0.2">
      <c r="A19" s="14" t="s">
        <v>178</v>
      </c>
      <c r="B19" s="3">
        <v>0.5</v>
      </c>
      <c r="D19" s="67" t="s">
        <v>110</v>
      </c>
      <c r="E19" s="70" t="s">
        <v>111</v>
      </c>
      <c r="F19" s="71"/>
      <c r="G19" s="71"/>
      <c r="H19" s="72"/>
      <c r="I19" s="79" t="s">
        <v>112</v>
      </c>
      <c r="J19" s="80"/>
      <c r="K19" s="80"/>
      <c r="L19" s="80"/>
      <c r="M19" s="80"/>
      <c r="N19" s="80"/>
      <c r="O19" s="80"/>
      <c r="P19" s="80"/>
      <c r="Q19" s="81"/>
    </row>
    <row r="20" spans="1:17" ht="13.5" thickBot="1" x14ac:dyDescent="0.25">
      <c r="A20" s="14" t="s">
        <v>63</v>
      </c>
      <c r="B20" s="3">
        <v>0.3</v>
      </c>
      <c r="D20" s="68"/>
      <c r="E20" s="73"/>
      <c r="F20" s="74"/>
      <c r="G20" s="74"/>
      <c r="H20" s="75"/>
      <c r="I20" s="82"/>
      <c r="J20" s="83"/>
      <c r="K20" s="83"/>
      <c r="L20" s="83"/>
      <c r="M20" s="83"/>
      <c r="N20" s="83"/>
      <c r="O20" s="83"/>
      <c r="P20" s="83"/>
      <c r="Q20" s="84"/>
    </row>
    <row r="21" spans="1:17" x14ac:dyDescent="0.2">
      <c r="A21" s="14" t="s">
        <v>64</v>
      </c>
      <c r="B21" s="3">
        <v>430000</v>
      </c>
      <c r="D21" s="68"/>
      <c r="E21" s="73"/>
      <c r="F21" s="74"/>
      <c r="G21" s="74"/>
      <c r="H21" s="75"/>
      <c r="I21" s="79" t="s">
        <v>113</v>
      </c>
      <c r="J21" s="80"/>
      <c r="K21" s="80"/>
      <c r="L21" s="80"/>
      <c r="M21" s="80"/>
      <c r="N21" s="80"/>
      <c r="O21" s="80"/>
      <c r="P21" s="80"/>
      <c r="Q21" s="81"/>
    </row>
    <row r="22" spans="1:17" x14ac:dyDescent="0.2">
      <c r="A22" s="14" t="s">
        <v>65</v>
      </c>
      <c r="B22" s="3">
        <v>290000</v>
      </c>
      <c r="D22" s="68"/>
      <c r="E22" s="73"/>
      <c r="F22" s="74"/>
      <c r="G22" s="74"/>
      <c r="H22" s="75"/>
      <c r="I22" s="85" t="s">
        <v>114</v>
      </c>
      <c r="J22" s="86"/>
      <c r="K22" s="87"/>
      <c r="L22" s="89" t="s">
        <v>115</v>
      </c>
      <c r="M22" s="86"/>
      <c r="N22" s="87"/>
      <c r="O22" s="89" t="s">
        <v>116</v>
      </c>
      <c r="P22" s="86"/>
      <c r="Q22" s="91"/>
    </row>
    <row r="23" spans="1:17" ht="13.5" thickBot="1" x14ac:dyDescent="0.25">
      <c r="A23" s="14" t="s">
        <v>66</v>
      </c>
      <c r="B23" s="3">
        <v>150000</v>
      </c>
      <c r="D23" s="69"/>
      <c r="E23" s="76"/>
      <c r="F23" s="77"/>
      <c r="G23" s="77"/>
      <c r="H23" s="78"/>
      <c r="I23" s="82"/>
      <c r="J23" s="83"/>
      <c r="K23" s="88"/>
      <c r="L23" s="90"/>
      <c r="M23" s="83"/>
      <c r="N23" s="88"/>
      <c r="O23" s="90"/>
      <c r="P23" s="83"/>
      <c r="Q23" s="84"/>
    </row>
    <row r="24" spans="1:17" x14ac:dyDescent="0.2">
      <c r="A24" s="14" t="s">
        <v>67</v>
      </c>
      <c r="B24" s="3">
        <v>0</v>
      </c>
      <c r="D24" s="112" t="s">
        <v>117</v>
      </c>
      <c r="E24" s="107" t="s">
        <v>118</v>
      </c>
      <c r="F24" s="108"/>
      <c r="G24" s="108"/>
      <c r="H24" s="109"/>
      <c r="I24" s="107" t="s">
        <v>119</v>
      </c>
      <c r="J24" s="108"/>
      <c r="K24" s="110"/>
      <c r="L24" s="111" t="s">
        <v>109</v>
      </c>
      <c r="M24" s="108"/>
      <c r="N24" s="110"/>
      <c r="O24" s="111" t="s">
        <v>109</v>
      </c>
      <c r="P24" s="108"/>
      <c r="Q24" s="109"/>
    </row>
    <row r="25" spans="1:17" x14ac:dyDescent="0.2">
      <c r="A25" s="14" t="s">
        <v>68</v>
      </c>
      <c r="B25" s="3">
        <v>24000000</v>
      </c>
      <c r="D25" s="113"/>
      <c r="E25" s="99" t="s">
        <v>120</v>
      </c>
      <c r="F25" s="100"/>
      <c r="G25" s="100"/>
      <c r="H25" s="103"/>
      <c r="I25" s="115" t="s">
        <v>121</v>
      </c>
      <c r="J25" s="116"/>
      <c r="K25" s="117"/>
      <c r="L25" s="102" t="s">
        <v>122</v>
      </c>
      <c r="M25" s="100"/>
      <c r="N25" s="101"/>
      <c r="O25" s="102" t="s">
        <v>123</v>
      </c>
      <c r="P25" s="100"/>
      <c r="Q25" s="103"/>
    </row>
    <row r="26" spans="1:17" x14ac:dyDescent="0.2">
      <c r="A26" s="14" t="s">
        <v>69</v>
      </c>
      <c r="B26" s="3">
        <v>24500000</v>
      </c>
      <c r="D26" s="113"/>
      <c r="E26" s="92" t="s">
        <v>124</v>
      </c>
      <c r="F26" s="65"/>
      <c r="G26" s="65"/>
      <c r="H26" s="66"/>
      <c r="I26" s="118" t="s">
        <v>125</v>
      </c>
      <c r="J26" s="119"/>
      <c r="K26" s="120"/>
      <c r="L26" s="64" t="s">
        <v>126</v>
      </c>
      <c r="M26" s="65"/>
      <c r="N26" s="93"/>
      <c r="O26" s="64" t="s">
        <v>127</v>
      </c>
      <c r="P26" s="65"/>
      <c r="Q26" s="66"/>
    </row>
    <row r="27" spans="1:17" x14ac:dyDescent="0.2">
      <c r="A27" s="14" t="s">
        <v>70</v>
      </c>
      <c r="B27" s="3">
        <v>25000000</v>
      </c>
      <c r="D27" s="113"/>
      <c r="E27" s="99" t="s">
        <v>128</v>
      </c>
      <c r="F27" s="100"/>
      <c r="G27" s="100"/>
      <c r="H27" s="103"/>
      <c r="I27" s="99" t="s">
        <v>129</v>
      </c>
      <c r="J27" s="100"/>
      <c r="K27" s="101"/>
      <c r="L27" s="102" t="s">
        <v>130</v>
      </c>
      <c r="M27" s="100"/>
      <c r="N27" s="101"/>
      <c r="O27" s="102" t="s">
        <v>131</v>
      </c>
      <c r="P27" s="100"/>
      <c r="Q27" s="103"/>
    </row>
    <row r="28" spans="1:17" x14ac:dyDescent="0.2">
      <c r="A28" s="14" t="s">
        <v>71</v>
      </c>
      <c r="B28" s="3">
        <v>430000</v>
      </c>
      <c r="D28" s="113"/>
      <c r="E28" s="92" t="s">
        <v>132</v>
      </c>
      <c r="F28" s="65"/>
      <c r="G28" s="65"/>
      <c r="H28" s="66"/>
      <c r="I28" s="92" t="s">
        <v>133</v>
      </c>
      <c r="J28" s="65"/>
      <c r="K28" s="93"/>
      <c r="L28" s="64" t="s">
        <v>134</v>
      </c>
      <c r="M28" s="65"/>
      <c r="N28" s="93"/>
      <c r="O28" s="64" t="s">
        <v>135</v>
      </c>
      <c r="P28" s="65"/>
      <c r="Q28" s="66"/>
    </row>
    <row r="29" spans="1:17" ht="13.5" thickBot="1" x14ac:dyDescent="0.25">
      <c r="A29" s="14" t="s">
        <v>72</v>
      </c>
      <c r="B29" s="3">
        <v>100000</v>
      </c>
      <c r="D29" s="114"/>
      <c r="E29" s="94" t="s">
        <v>136</v>
      </c>
      <c r="F29" s="95"/>
      <c r="G29" s="95"/>
      <c r="H29" s="96"/>
      <c r="I29" s="94" t="s">
        <v>137</v>
      </c>
      <c r="J29" s="95"/>
      <c r="K29" s="97"/>
      <c r="L29" s="98" t="s">
        <v>138</v>
      </c>
      <c r="M29" s="95"/>
      <c r="N29" s="97"/>
      <c r="O29" s="98" t="s">
        <v>139</v>
      </c>
      <c r="P29" s="95"/>
      <c r="Q29" s="96"/>
    </row>
    <row r="30" spans="1:17" x14ac:dyDescent="0.2">
      <c r="A30" s="14" t="s">
        <v>73</v>
      </c>
      <c r="B30" s="3">
        <v>310000</v>
      </c>
      <c r="D30" s="104" t="s">
        <v>140</v>
      </c>
      <c r="E30" s="107" t="s">
        <v>141</v>
      </c>
      <c r="F30" s="108"/>
      <c r="G30" s="108"/>
      <c r="H30" s="109"/>
      <c r="I30" s="107" t="s">
        <v>109</v>
      </c>
      <c r="J30" s="108"/>
      <c r="K30" s="110"/>
      <c r="L30" s="111" t="s">
        <v>109</v>
      </c>
      <c r="M30" s="108"/>
      <c r="N30" s="110"/>
      <c r="O30" s="111" t="s">
        <v>109</v>
      </c>
      <c r="P30" s="108"/>
      <c r="Q30" s="109"/>
    </row>
    <row r="31" spans="1:17" x14ac:dyDescent="0.2">
      <c r="A31" s="14" t="s">
        <v>74</v>
      </c>
      <c r="B31" s="3">
        <v>570000</v>
      </c>
      <c r="D31" s="105"/>
      <c r="E31" s="99" t="s">
        <v>142</v>
      </c>
      <c r="F31" s="100"/>
      <c r="G31" s="100"/>
      <c r="H31" s="103"/>
      <c r="I31" s="99" t="s">
        <v>143</v>
      </c>
      <c r="J31" s="100"/>
      <c r="K31" s="101"/>
      <c r="L31" s="102" t="s">
        <v>144</v>
      </c>
      <c r="M31" s="100"/>
      <c r="N31" s="101"/>
      <c r="O31" s="102" t="s">
        <v>145</v>
      </c>
      <c r="P31" s="100"/>
      <c r="Q31" s="103"/>
    </row>
    <row r="32" spans="1:17" x14ac:dyDescent="0.2">
      <c r="A32" s="15" t="s">
        <v>75</v>
      </c>
      <c r="B32" s="10">
        <v>150000</v>
      </c>
      <c r="D32" s="105"/>
      <c r="E32" s="92" t="s">
        <v>146</v>
      </c>
      <c r="F32" s="65"/>
      <c r="G32" s="65"/>
      <c r="H32" s="66"/>
      <c r="I32" s="92" t="s">
        <v>125</v>
      </c>
      <c r="J32" s="65"/>
      <c r="K32" s="93"/>
      <c r="L32" s="64" t="s">
        <v>126</v>
      </c>
      <c r="M32" s="65"/>
      <c r="N32" s="93"/>
      <c r="O32" s="64" t="s">
        <v>127</v>
      </c>
      <c r="P32" s="65"/>
      <c r="Q32" s="66"/>
    </row>
    <row r="33" spans="1:17" x14ac:dyDescent="0.2">
      <c r="A33" s="15" t="s">
        <v>82</v>
      </c>
      <c r="B33" s="11" t="s">
        <v>78</v>
      </c>
      <c r="D33" s="105"/>
      <c r="E33" s="99" t="s">
        <v>128</v>
      </c>
      <c r="F33" s="100"/>
      <c r="G33" s="100"/>
      <c r="H33" s="103"/>
      <c r="I33" s="99" t="s">
        <v>129</v>
      </c>
      <c r="J33" s="100"/>
      <c r="K33" s="101"/>
      <c r="L33" s="102" t="s">
        <v>130</v>
      </c>
      <c r="M33" s="100"/>
      <c r="N33" s="101"/>
      <c r="O33" s="102" t="s">
        <v>131</v>
      </c>
      <c r="P33" s="100"/>
      <c r="Q33" s="103"/>
    </row>
    <row r="34" spans="1:17" x14ac:dyDescent="0.2">
      <c r="A34" s="15" t="s">
        <v>83</v>
      </c>
      <c r="B34" s="10">
        <v>2026</v>
      </c>
      <c r="D34" s="105"/>
      <c r="E34" s="92" t="s">
        <v>132</v>
      </c>
      <c r="F34" s="65"/>
      <c r="G34" s="65"/>
      <c r="H34" s="66"/>
      <c r="I34" s="92" t="s">
        <v>133</v>
      </c>
      <c r="J34" s="65"/>
      <c r="K34" s="93"/>
      <c r="L34" s="64" t="s">
        <v>134</v>
      </c>
      <c r="M34" s="65"/>
      <c r="N34" s="93"/>
      <c r="O34" s="64" t="s">
        <v>135</v>
      </c>
      <c r="P34" s="65"/>
      <c r="Q34" s="66"/>
    </row>
    <row r="35" spans="1:17" ht="13.5" thickBot="1" x14ac:dyDescent="0.25">
      <c r="A35" s="15" t="s">
        <v>180</v>
      </c>
      <c r="B35" s="10">
        <v>6</v>
      </c>
      <c r="D35" s="106"/>
      <c r="E35" s="94" t="s">
        <v>136</v>
      </c>
      <c r="F35" s="95"/>
      <c r="G35" s="95"/>
      <c r="H35" s="96"/>
      <c r="I35" s="94" t="s">
        <v>137</v>
      </c>
      <c r="J35" s="95"/>
      <c r="K35" s="97"/>
      <c r="L35" s="98" t="s">
        <v>138</v>
      </c>
      <c r="M35" s="95"/>
      <c r="N35" s="97"/>
      <c r="O35" s="98" t="s">
        <v>139</v>
      </c>
      <c r="P35" s="95"/>
      <c r="Q35" s="96"/>
    </row>
  </sheetData>
  <mergeCells count="57">
    <mergeCell ref="E27:H27"/>
    <mergeCell ref="I27:K27"/>
    <mergeCell ref="L27:N27"/>
    <mergeCell ref="O27:Q27"/>
    <mergeCell ref="D24:D29"/>
    <mergeCell ref="E24:H24"/>
    <mergeCell ref="I24:K24"/>
    <mergeCell ref="L24:N24"/>
    <mergeCell ref="O24:Q24"/>
    <mergeCell ref="E25:H25"/>
    <mergeCell ref="I25:K25"/>
    <mergeCell ref="L25:N25"/>
    <mergeCell ref="O25:Q25"/>
    <mergeCell ref="E26:H26"/>
    <mergeCell ref="I26:K26"/>
    <mergeCell ref="L26:N26"/>
    <mergeCell ref="E33:H33"/>
    <mergeCell ref="I33:K33"/>
    <mergeCell ref="L33:N33"/>
    <mergeCell ref="O33:Q33"/>
    <mergeCell ref="D30:D35"/>
    <mergeCell ref="E30:H30"/>
    <mergeCell ref="I30:K30"/>
    <mergeCell ref="L30:N30"/>
    <mergeCell ref="O30:Q30"/>
    <mergeCell ref="E31:H31"/>
    <mergeCell ref="E34:H34"/>
    <mergeCell ref="I34:K34"/>
    <mergeCell ref="L34:N34"/>
    <mergeCell ref="O34:Q34"/>
    <mergeCell ref="E35:H35"/>
    <mergeCell ref="I35:K35"/>
    <mergeCell ref="L35:N35"/>
    <mergeCell ref="O35:Q35"/>
    <mergeCell ref="I31:K31"/>
    <mergeCell ref="L31:N31"/>
    <mergeCell ref="O31:Q31"/>
    <mergeCell ref="E32:H32"/>
    <mergeCell ref="E28:H28"/>
    <mergeCell ref="I28:K28"/>
    <mergeCell ref="L28:N28"/>
    <mergeCell ref="O28:Q28"/>
    <mergeCell ref="E29:H29"/>
    <mergeCell ref="I29:K29"/>
    <mergeCell ref="L29:N29"/>
    <mergeCell ref="O29:Q29"/>
    <mergeCell ref="I32:K32"/>
    <mergeCell ref="L32:N32"/>
    <mergeCell ref="O32:Q32"/>
    <mergeCell ref="O26:Q26"/>
    <mergeCell ref="D19:D23"/>
    <mergeCell ref="E19:H23"/>
    <mergeCell ref="I19:Q20"/>
    <mergeCell ref="I21:Q21"/>
    <mergeCell ref="I22:K23"/>
    <mergeCell ref="L22:N23"/>
    <mergeCell ref="O22:Q23"/>
  </mergeCells>
  <phoneticPr fontId="1"/>
  <pageMargins left="0.75" right="0.75" top="1" bottom="1" header="0.5" footer="0.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試算シート</vt:lpstr>
      <vt:lpstr>計算</vt:lpstr>
      <vt:lpstr>設定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令和8年度国民健康保険料の試算シート</dc:title>
  <dc:creator>千代田区</dc:creator>
  <cp:lastPrinted>2026-02-26T04:23:18Z</cp:lastPrinted>
  <dcterms:created xsi:type="dcterms:W3CDTF">2026-02-26T02:49:22Z</dcterms:created>
  <dcterms:modified xsi:type="dcterms:W3CDTF">2026-03-18T02:54:23Z</dcterms:modified>
</cp:coreProperties>
</file>